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ban\OneDrive\Masaüstü\"/>
    </mc:Choice>
  </mc:AlternateContent>
  <xr:revisionPtr revIDLastSave="0" documentId="13_ncr:1_{30A52A0C-576C-41A4-B8AD-B71A32FE1FCF}" xr6:coauthVersionLast="47" xr6:coauthVersionMax="47" xr10:uidLastSave="{00000000-0000-0000-0000-000000000000}"/>
  <bookViews>
    <workbookView xWindow="3615" yWindow="1320" windowWidth="23610" windowHeight="14895" tabRatio="500" activeTab="1" xr2:uid="{00000000-000D-0000-FFFF-FFFF00000000}"/>
  </bookViews>
  <sheets>
    <sheet name="PARAMETRELER" sheetId="1" r:id="rId1"/>
    <sheet name="HESAPLAMA" sheetId="2" r:id="rId2"/>
    <sheet name="ÖZET BORDRO" sheetId="3" r:id="rId3"/>
    <sheet name="KARŞILAŞTIRMA" sheetId="4" r:id="rId4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4" l="1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D9" i="4"/>
  <c r="D8" i="4"/>
  <c r="G7" i="4"/>
  <c r="E7" i="4"/>
  <c r="D7" i="4"/>
  <c r="G6" i="4"/>
  <c r="E6" i="4"/>
  <c r="D6" i="4"/>
  <c r="D5" i="4"/>
  <c r="I24" i="2"/>
  <c r="E18" i="3" s="1"/>
  <c r="B24" i="2"/>
  <c r="B23" i="2"/>
  <c r="C23" i="2" s="1"/>
  <c r="B22" i="2"/>
  <c r="H21" i="2"/>
  <c r="B21" i="2"/>
  <c r="C21" i="2" s="1"/>
  <c r="B20" i="2"/>
  <c r="C20" i="2" s="1"/>
  <c r="H19" i="2"/>
  <c r="B19" i="2"/>
  <c r="C19" i="2" s="1"/>
  <c r="B18" i="2"/>
  <c r="I17" i="2"/>
  <c r="H17" i="2"/>
  <c r="B17" i="2"/>
  <c r="C17" i="2" s="1"/>
  <c r="I16" i="2"/>
  <c r="B16" i="2"/>
  <c r="C16" i="2" s="1"/>
  <c r="H15" i="2"/>
  <c r="B15" i="2"/>
  <c r="C15" i="2" s="1"/>
  <c r="B14" i="2"/>
  <c r="I13" i="2"/>
  <c r="E7" i="3" s="1"/>
  <c r="B13" i="2"/>
  <c r="K13" i="2" s="1"/>
  <c r="D19" i="1"/>
  <c r="G8" i="4" s="1"/>
  <c r="D18" i="1"/>
  <c r="H24" i="2" s="1"/>
  <c r="E5" i="3" l="1"/>
  <c r="F9" i="4"/>
  <c r="H9" i="4" s="1"/>
  <c r="J9" i="4" s="1"/>
  <c r="E9" i="4"/>
  <c r="I20" i="2"/>
  <c r="G9" i="4"/>
  <c r="F6" i="4"/>
  <c r="H6" i="4" s="1"/>
  <c r="J6" i="4" s="1"/>
  <c r="F7" i="4"/>
  <c r="H7" i="4" s="1"/>
  <c r="I7" i="4" s="1"/>
  <c r="I21" i="2"/>
  <c r="H13" i="2"/>
  <c r="H23" i="2"/>
  <c r="C13" i="2"/>
  <c r="D13" i="2" s="1"/>
  <c r="E13" i="2" s="1"/>
  <c r="K21" i="2"/>
  <c r="K17" i="2"/>
  <c r="F5" i="4"/>
  <c r="C22" i="2"/>
  <c r="I15" i="2"/>
  <c r="E5" i="4"/>
  <c r="E8" i="2"/>
  <c r="K15" i="2"/>
  <c r="K19" i="2"/>
  <c r="K23" i="2"/>
  <c r="E8" i="4"/>
  <c r="F8" i="4" s="1"/>
  <c r="H8" i="4" s="1"/>
  <c r="E9" i="2"/>
  <c r="B25" i="2"/>
  <c r="G5" i="4"/>
  <c r="G15" i="4" s="1"/>
  <c r="H14" i="2"/>
  <c r="H18" i="2"/>
  <c r="H22" i="2"/>
  <c r="E16" i="3"/>
  <c r="K16" i="2"/>
  <c r="K20" i="2"/>
  <c r="K24" i="2"/>
  <c r="C14" i="2"/>
  <c r="C18" i="2"/>
  <c r="I19" i="2"/>
  <c r="I23" i="2"/>
  <c r="I14" i="2"/>
  <c r="I18" i="2"/>
  <c r="I22" i="2"/>
  <c r="K14" i="2"/>
  <c r="K18" i="2"/>
  <c r="K22" i="2"/>
  <c r="C24" i="2"/>
  <c r="H16" i="2"/>
  <c r="H20" i="2"/>
  <c r="J7" i="4" l="1"/>
  <c r="I6" i="4"/>
  <c r="I9" i="4"/>
  <c r="H25" i="2"/>
  <c r="C25" i="2"/>
  <c r="D14" i="2"/>
  <c r="E14" i="2" s="1"/>
  <c r="J8" i="4"/>
  <c r="I8" i="4"/>
  <c r="F15" i="4"/>
  <c r="H5" i="4"/>
  <c r="E27" i="3"/>
  <c r="L21" i="2"/>
  <c r="M21" i="2" s="1"/>
  <c r="L17" i="2"/>
  <c r="M17" i="2" s="1"/>
  <c r="L13" i="2"/>
  <c r="L22" i="2"/>
  <c r="M22" i="2" s="1"/>
  <c r="L18" i="2"/>
  <c r="M18" i="2" s="1"/>
  <c r="L14" i="2"/>
  <c r="M14" i="2" s="1"/>
  <c r="L20" i="2"/>
  <c r="M20" i="2" s="1"/>
  <c r="L23" i="2"/>
  <c r="M23" i="2" s="1"/>
  <c r="L19" i="2"/>
  <c r="M19" i="2" s="1"/>
  <c r="L15" i="2"/>
  <c r="M15" i="2" s="1"/>
  <c r="L24" i="2"/>
  <c r="M24" i="2" s="1"/>
  <c r="E20" i="3" s="1"/>
  <c r="L16" i="2"/>
  <c r="I25" i="2"/>
  <c r="E29" i="3" s="1"/>
  <c r="K25" i="2"/>
  <c r="D15" i="2"/>
  <c r="G13" i="2"/>
  <c r="F14" i="2"/>
  <c r="M16" i="2"/>
  <c r="L25" i="2" l="1"/>
  <c r="M13" i="2"/>
  <c r="J13" i="2"/>
  <c r="E6" i="3"/>
  <c r="F15" i="2"/>
  <c r="G14" i="2"/>
  <c r="J14" i="2" s="1"/>
  <c r="N14" i="2" s="1"/>
  <c r="D16" i="2"/>
  <c r="E15" i="2"/>
  <c r="H15" i="4"/>
  <c r="J15" i="4" s="1"/>
  <c r="J5" i="4"/>
  <c r="I5" i="4"/>
  <c r="I15" i="4" s="1"/>
  <c r="F16" i="2" l="1"/>
  <c r="G15" i="2"/>
  <c r="J15" i="2" s="1"/>
  <c r="N15" i="2" s="1"/>
  <c r="E16" i="2"/>
  <c r="D17" i="2"/>
  <c r="O14" i="2"/>
  <c r="P14" i="2"/>
  <c r="N13" i="2"/>
  <c r="E8" i="3"/>
  <c r="M25" i="2"/>
  <c r="E31" i="3" s="1"/>
  <c r="E9" i="3"/>
  <c r="P13" i="2" l="1"/>
  <c r="E12" i="3"/>
  <c r="E10" i="3"/>
  <c r="O13" i="2"/>
  <c r="G16" i="2"/>
  <c r="F17" i="2"/>
  <c r="E17" i="2"/>
  <c r="D18" i="2"/>
  <c r="P15" i="2"/>
  <c r="O15" i="2"/>
  <c r="E18" i="2" l="1"/>
  <c r="D19" i="2"/>
  <c r="J16" i="2"/>
  <c r="G17" i="2"/>
  <c r="J17" i="2" s="1"/>
  <c r="N17" i="2" s="1"/>
  <c r="F18" i="2"/>
  <c r="E11" i="3"/>
  <c r="N16" i="2" l="1"/>
  <c r="D20" i="2"/>
  <c r="E19" i="2"/>
  <c r="P17" i="2"/>
  <c r="O17" i="2"/>
  <c r="F19" i="2"/>
  <c r="G18" i="2"/>
  <c r="J18" i="2" s="1"/>
  <c r="N18" i="2" s="1"/>
  <c r="O18" i="2" l="1"/>
  <c r="P18" i="2"/>
  <c r="F20" i="2"/>
  <c r="G19" i="2"/>
  <c r="J19" i="2" s="1"/>
  <c r="N19" i="2" s="1"/>
  <c r="E20" i="2"/>
  <c r="D21" i="2"/>
  <c r="O16" i="2"/>
  <c r="P16" i="2"/>
  <c r="G20" i="2" l="1"/>
  <c r="J20" i="2" s="1"/>
  <c r="F21" i="2"/>
  <c r="E21" i="2"/>
  <c r="D22" i="2"/>
  <c r="O19" i="2"/>
  <c r="P19" i="2"/>
  <c r="D23" i="2" l="1"/>
  <c r="E22" i="2"/>
  <c r="G21" i="2"/>
  <c r="J21" i="2" s="1"/>
  <c r="N21" i="2" s="1"/>
  <c r="F22" i="2"/>
  <c r="N20" i="2"/>
  <c r="P21" i="2" l="1"/>
  <c r="O21" i="2"/>
  <c r="O20" i="2"/>
  <c r="P20" i="2"/>
  <c r="F23" i="2"/>
  <c r="G22" i="2"/>
  <c r="J22" i="2" s="1"/>
  <c r="N22" i="2" s="1"/>
  <c r="D24" i="2"/>
  <c r="E23" i="2"/>
  <c r="F24" i="2" l="1"/>
  <c r="G23" i="2"/>
  <c r="J23" i="2" s="1"/>
  <c r="N23" i="2" s="1"/>
  <c r="E24" i="2"/>
  <c r="G24" i="2" s="1"/>
  <c r="D25" i="2"/>
  <c r="O22" i="2"/>
  <c r="P22" i="2"/>
  <c r="E17" i="3" l="1"/>
  <c r="J24" i="2"/>
  <c r="G25" i="2"/>
  <c r="E28" i="3" s="1"/>
  <c r="P23" i="2"/>
  <c r="O23" i="2"/>
  <c r="E19" i="3" l="1"/>
  <c r="N24" i="2"/>
  <c r="J25" i="2"/>
  <c r="E30" i="3" s="1"/>
  <c r="E21" i="3" l="1"/>
  <c r="O24" i="2"/>
  <c r="E23" i="3"/>
  <c r="P24" i="2"/>
  <c r="N25" i="2"/>
  <c r="E32" i="3" l="1"/>
  <c r="P25" i="2"/>
  <c r="E34" i="3"/>
  <c r="E22" i="3"/>
  <c r="O25" i="2"/>
  <c r="E33" i="3" s="1"/>
</calcChain>
</file>

<file path=xl/sharedStrings.xml><?xml version="1.0" encoding="utf-8"?>
<sst xmlns="http://schemas.openxmlformats.org/spreadsheetml/2006/main" count="164" uniqueCount="134">
  <si>
    <t>HUZUR HAKKI HESAPLAMA  –  2026 YILI RESMİ PARAMETRELERİ</t>
  </si>
  <si>
    <t>Kaynak: GİB – 332 Seri No.lu GV Genel Tebliği (R.G. 31.12.2025) | Ücret Geliri Tarifesi</t>
  </si>
  <si>
    <t xml:space="preserve">  GELİR VERGİSİ DİLİMLERİ 2026 – ÜCRET GELİRLERİ (GVK Md.103)</t>
  </si>
  <si>
    <t>#</t>
  </si>
  <si>
    <t>Alt Sınır (₺)</t>
  </si>
  <si>
    <t>Üst Sınır (₺)</t>
  </si>
  <si>
    <t>Oran</t>
  </si>
  <si>
    <t>Alt Sınıra Kadar Sabit GV (₺)</t>
  </si>
  <si>
    <t>Marjinal GV Oranı</t>
  </si>
  <si>
    <t>Açıklama</t>
  </si>
  <si>
    <t>1. Dilim – %15</t>
  </si>
  <si>
    <t>2. Dilim – %20</t>
  </si>
  <si>
    <t>3. Dilim – %27 (Ücret)</t>
  </si>
  <si>
    <t>4. Dilim – %35</t>
  </si>
  <si>
    <t>Sınırsız</t>
  </si>
  <si>
    <t>5. Dilim – %40</t>
  </si>
  <si>
    <t xml:space="preserve">  2026 BORDRO PARAMETRELERİ</t>
  </si>
  <si>
    <t>Brüt Asgari Ücret (Aylık)</t>
  </si>
  <si>
    <t>Kaynak: Asgari Ücret Tespit Komisyonu, 23.12.2025</t>
  </si>
  <si>
    <t>Net Asgari Ücret (Aylık)</t>
  </si>
  <si>
    <t>SGK Tavan Matrahı (Aylık)</t>
  </si>
  <si>
    <t>9 × Brüt Asgari Ücret (7566 sayılı Kanun, 01.01.2026)</t>
  </si>
  <si>
    <t>Damga Vergisi Oranı</t>
  </si>
  <si>
    <t>488 Sayılı DVK – 2026</t>
  </si>
  <si>
    <t>SGK İşçi Oranı (Huzur hakkında UYGULANMAZ)</t>
  </si>
  <si>
    <t>—</t>
  </si>
  <si>
    <t>Huzur hakkı 4/a sigortalılığı doğurmaz</t>
  </si>
  <si>
    <t>GV İstisnası Matrahı – Aylık Net AU (GVK Md.23/18) (₺)</t>
  </si>
  <si>
    <t>NetAU = BrütAU - SGK&amp;isk = 33.030×%85 = 28.075,50 TL | GİB Ocak istisnası: 4.211,33 TL</t>
  </si>
  <si>
    <t>DV İstisnası – Aylık (₺)</t>
  </si>
  <si>
    <t>BrütAU × %0,759 = 33.030 × %0,759 = 250,70 TL/ay</t>
  </si>
  <si>
    <t>⚠ NOT: Huzur hakkı GVK Md.94/1-1 uyarınca stopaj yoluyla vergilendirilir. SGK uygulaması YK üyesinin sigortalılık statüsüne göre değişebilir; hukuki inceleme önerilir.</t>
  </si>
  <si>
    <t>HUZUR HAKKI HESAPLAMA – 2026  |  GVK Md.103 Kümülatif + GVK Md.23/18 İstisnası  |  SGK/İşsizlik Kesintisi Yoktur</t>
  </si>
  <si>
    <t>GV İstisnası: kgv(NetAU×n) − kgv(NetAU×(n−1))  |  NetAU = 33.030×%85 = 28.075,50 ₺  |  Ocak istisnası = 4.211,33 ₺  |  GV Matrahı = Brüt (SGK kesintisi olmadığından)</t>
  </si>
  <si>
    <t xml:space="preserve">  GİRİŞ ALANLARI  —  Yalnızca sarı hücreler değiştirin</t>
  </si>
  <si>
    <t>Ad Soyad</t>
  </si>
  <si>
    <t>← Değiştirilebilir</t>
  </si>
  <si>
    <t>Görev / Unvan</t>
  </si>
  <si>
    <t>Yönetim Kurulu Üyesi</t>
  </si>
  <si>
    <t>Aylık Brüt Huzur Hakkı (₺)</t>
  </si>
  <si>
    <t>GV İstisnası Matrahı – Net AU (₺)</t>
  </si>
  <si>
    <t>← Otomatik (PARAMETRELER)</t>
  </si>
  <si>
    <t xml:space="preserve">  AYLIK HESAPLAMA TABLOSU  —  Brüt GV Matrahı = Brüt Huzur Hakkı (SGK kesintisi olmadığından)</t>
  </si>
  <si>
    <t>AY</t>
  </si>
  <si>
    <t>BRÜT
Huzur Hakkı (₺)</t>
  </si>
  <si>
    <t>BRÜT
GV Matrahı (₺)</t>
  </si>
  <si>
    <t>Kümülatif
GV Matrahı (₺)</t>
  </si>
  <si>
    <t>Kümülatif
GV Brüt (₺)</t>
  </si>
  <si>
    <t>Önceki Ay
Küm.GV (₺)</t>
  </si>
  <si>
    <t>Bu Ay
Hes.GV (₺)</t>
  </si>
  <si>
    <t>Küm. Net AU
Matrahı (₺)</t>
  </si>
  <si>
    <t>GV İstisnası
(GVK 23/18) (₺)</t>
  </si>
  <si>
    <t>ÖDENECEK GV
(₺)</t>
  </si>
  <si>
    <t>Brüt DV
(₺)</t>
  </si>
  <si>
    <t>DV İstisnası
(₺)</t>
  </si>
  <si>
    <t>ÖDENECEK DV
(₺)</t>
  </si>
  <si>
    <t>Toplam
Kesinti (₺)</t>
  </si>
  <si>
    <t>NET ÖDEME
(₺)</t>
  </si>
  <si>
    <t>Efektif
Oran (%)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</si>
  <si>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</si>
  <si>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</si>
  <si>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</si>
  <si>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</si>
  <si>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</si>
  <si>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</si>
  <si>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</si>
  <si>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</si>
  <si>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</si>
  <si>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</si>
  <si>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</si>
  <si>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</si>
  <si>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</si>
  <si>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HESAPLAMA MANTIĞI  |  ① Brüt GV Matrahı = Brüt Huzur Hakkı (SGK/İşsizlik kesintisi olmadığından ikisi eşit)  |  ② Kümülatif GV Matrahı = Brüt GV Matrahının yıl başından birikimi  |  ③ Kümülatif GV = GVK 103 ücret tarifesi (artan oranlı)  |  ④ Bu Ay GV = Küm.GV(bu ay) − Küm.GV(önceki ay)  |  ⑤ GV İstisnası (GVK 23/18) = kgv(NetAU×n) − kgv(NetAU×(n−1)) [NetAU = 28.075,50 ₺ | Ocak=4.211,33 ₺ | Temmuz=4.537,75 ₺ | Ağustos+=5.615,10 ₺]  |  ⑥ Ödenecek GV = MAX(0, Bu Ay GV − GV İstisnası)  |  ⑦ DV İstisnası = 33.030 × %0,759 = 250,70 ₺/ay  |  ⑧ Net Ödeme = Brüt − Ödenecek GV − Ödenecek DV</t>
  </si>
  <si>
    <t>HUZUR HAKKI – BORDRO ÖZETİ (2026)</t>
  </si>
  <si>
    <t>Değerler HESAPLAMA sekmesinden otomatik beslenir. Brüt tutarı yalnızca HESAPLAMA sekmesinden değiştirin.</t>
  </si>
  <si>
    <t xml:space="preserve">  OCAK AYI (1. Ay – Düşük Kümülatif Dilim)</t>
  </si>
  <si>
    <t>1</t>
  </si>
  <si>
    <t>Brüt Huzur Hakkı</t>
  </si>
  <si>
    <t>2</t>
  </si>
  <si>
    <t>Hesaplanan GV (Stopaj)</t>
  </si>
  <si>
    <t>3</t>
  </si>
  <si>
    <t>GV İstisnası (GVK 23/18)</t>
  </si>
  <si>
    <t>4</t>
  </si>
  <si>
    <t>Ödenecek Gelir Vergisi</t>
  </si>
  <si>
    <t>5</t>
  </si>
  <si>
    <t>Ödenecek Damga Vergisi</t>
  </si>
  <si>
    <t>6</t>
  </si>
  <si>
    <t>Toplam Kesinti</t>
  </si>
  <si>
    <t>7</t>
  </si>
  <si>
    <t>NET ÖDEME – Ocak</t>
  </si>
  <si>
    <t>8</t>
  </si>
  <si>
    <t>Efektif Vergi Yükü</t>
  </si>
  <si>
    <t xml:space="preserve">  ARALIK AYI (12. Ay – Yüksek Kümülatif Dilim)</t>
  </si>
  <si>
    <t>NET ÖDEME – Aralık</t>
  </si>
  <si>
    <t xml:space="preserve">  YILLIK TOPLAM (12 Ay)</t>
  </si>
  <si>
    <t>A</t>
  </si>
  <si>
    <t>Yıllık Brüt Huzur Hakkı</t>
  </si>
  <si>
    <t>B</t>
  </si>
  <si>
    <t>Yıllık Hesaplanan GV Toplamı</t>
  </si>
  <si>
    <t>C</t>
  </si>
  <si>
    <t>Yıllık GV İstisnası Toplamı</t>
  </si>
  <si>
    <t>D</t>
  </si>
  <si>
    <t>Yıllık Ödenecek GV Toplamı</t>
  </si>
  <si>
    <t>E</t>
  </si>
  <si>
    <t>Yıllık Ödenecek DV Toplamı</t>
  </si>
  <si>
    <t>F</t>
  </si>
  <si>
    <t>Yıllık Toplam Kesinti</t>
  </si>
  <si>
    <t>G</t>
  </si>
  <si>
    <t>YILLIK NET ÖDEME TOPLAMI</t>
  </si>
  <si>
    <t>H</t>
  </si>
  <si>
    <t>Yıllık Efektif Vergi Yükü</t>
  </si>
  <si>
    <t xml:space="preserve">  YASAL DAYANAK</t>
  </si>
  <si>
    <t>• GVK Md.61 &amp; 94/1-1: Huzur hakkı ücret sayılır; stopaj yoluyla vergilendirilir.</t>
  </si>
  <si>
    <t>• GVK Md.103 (332 Seri Tebliğ): 2026 ücret tarifesi %15/%20/%27/%35/%40 – kümülatif artan oranlı.</t>
  </si>
  <si>
    <t>• GVK Md.23/18: Asgari ücrete isabet eden GV ve DV istisnası – huzur hakkına da uygulanır.</t>
  </si>
  <si>
    <t>• GV İstisnası = kgv(NetAU×n) − kgv(NetAU×(n−1)) | NetAU = 28.075,50 ₺ | Ocak = 4.211,33 ₺.</t>
  </si>
  <si>
    <t>• SGK &amp; İşsizlik: Huzur hakkı 4/a sigortalılığı doğurmaz; işçi/işveren SGK primi kesilmez.</t>
  </si>
  <si>
    <t>• DVK: %0,759 damga vergisi | DV İstisnası = 33.030 × %0,759 = 250,70 ₺/ay.</t>
  </si>
  <si>
    <t>HUZUR HAKKI – ÇOKLU ÜYE KARŞILAŞTIRMA (2026 – Ocak Ayı Bazında)</t>
  </si>
  <si>
    <t>NOT: Bu sayfa Ocak ayı (kümülatif=aylık brüt, 1. ay) bazında hesaplar. Gerçek yıllık kümülatif için HESAPLAMA sekmesini kullanın.</t>
  </si>
  <si>
    <t>Aylık Brüt (₺)</t>
  </si>
  <si>
    <t>Hes. GV
(Ocak) (₺)</t>
  </si>
  <si>
    <t>GV İstisnası
(Ocak) (₺)</t>
  </si>
  <si>
    <t>Ödenecek GV
(₺)</t>
  </si>
  <si>
    <t>Ödenecek DV
(₺)</t>
  </si>
  <si>
    <t>Ahmet Soyad</t>
  </si>
  <si>
    <t>Fatma Soyad</t>
  </si>
  <si>
    <t>Mehmet Soyad</t>
  </si>
  <si>
    <t>Ayşe Soyad</t>
  </si>
  <si>
    <t>Ali Soyad</t>
  </si>
  <si>
    <t>• Bu hesaplama bilgilendirme amaçlıdır. Sorumluluk kabul edilmez</t>
  </si>
  <si>
    <t>⚠ NOT: Bu çalışma bilgi amaçlıdır. Sorumluluk kabul edilmez.</t>
  </si>
  <si>
    <t>⚠ NOT: Sorun bildirimlerinizi alo@alomaliye.com adresine iletebilirsiniz.</t>
  </si>
  <si>
    <t>Hasan 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</si>
</sst>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₺&quot;"/>
    <numFmt numFmtId="165" formatCode="#,##0.00&quot; ₺&quot;"/>
    <numFmt numFmtId="166" formatCode="0.000%"/>
  </numFmts>
  <fonts count="31" x14ac:knownFonts="1">
    <font>
      <sz val="11"/>
      <color theme="1"/>
      <name val="Calibri"/>
      <family val="2"/>
      <charset val="1"/>
    </font>
    <font>
      <b/>
      <sz val="15"/>
      <color rgb="FFFFFFFF"/>
      <name val="Arial"/>
      <family val="2"/>
      <charset val="162"/>
    </font>
    <font>
      <i/>
      <sz val="9"/>
      <color rgb="FF595959"/>
      <name val="Arial"/>
      <family val="2"/>
      <charset val="162"/>
    </font>
    <font>
      <b/>
      <sz val="12"/>
      <color rgb="FFFFFFFF"/>
      <name val="Arial"/>
      <family val="2"/>
      <charset val="162"/>
    </font>
    <font>
      <b/>
      <sz val="10"/>
      <color rgb="FFFFFFFF"/>
      <name val="Arial"/>
      <family val="2"/>
      <charset val="162"/>
    </font>
    <font>
      <b/>
      <sz val="11"/>
      <color rgb="FF0000FF"/>
      <name val="Arial"/>
      <family val="2"/>
      <charset val="162"/>
    </font>
    <font>
      <b/>
      <sz val="11"/>
      <color rgb="FF000000"/>
      <name val="Arial"/>
      <family val="2"/>
      <charset val="162"/>
    </font>
    <font>
      <i/>
      <sz val="9"/>
      <color rgb="FFC00000"/>
      <name val="Arial"/>
      <family val="2"/>
      <charset val="162"/>
    </font>
    <font>
      <b/>
      <sz val="13"/>
      <color rgb="FFFFFFFF"/>
      <name val="Calibri"/>
      <family val="2"/>
      <charset val="162"/>
    </font>
    <font>
      <i/>
      <sz val="9"/>
      <color rgb="FF595959"/>
      <name val="Calibri"/>
      <family val="2"/>
      <charset val="162"/>
    </font>
    <font>
      <b/>
      <sz val="10"/>
      <color rgb="FFFFFFFF"/>
      <name val="Calibri"/>
      <family val="2"/>
      <charset val="162"/>
    </font>
    <font>
      <b/>
      <sz val="10"/>
      <name val="Calibri"/>
      <family val="2"/>
      <charset val="162"/>
    </font>
    <font>
      <b/>
      <sz val="11"/>
      <color rgb="FF0000FF"/>
      <name val="Calibri"/>
      <family val="2"/>
      <charset val="162"/>
    </font>
    <font>
      <i/>
      <sz val="9"/>
      <color rgb="FF666666"/>
      <name val="Calibri"/>
      <family val="2"/>
      <charset val="162"/>
    </font>
    <font>
      <b/>
      <sz val="9"/>
      <color rgb="FFFFFFFF"/>
      <name val="Calibri"/>
      <family val="2"/>
      <charset val="162"/>
    </font>
    <font>
      <b/>
      <sz val="9"/>
      <color rgb="FF843C0C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rgb="FF843C0C"/>
      <name val="Calibri"/>
      <family val="2"/>
      <charset val="162"/>
    </font>
    <font>
      <b/>
      <sz val="10"/>
      <color rgb="FFC00000"/>
      <name val="Calibri"/>
      <family val="2"/>
      <charset val="162"/>
    </font>
    <font>
      <b/>
      <sz val="10"/>
      <color rgb="FF375623"/>
      <name val="Calibri"/>
      <family val="2"/>
      <charset val="162"/>
    </font>
    <font>
      <i/>
      <sz val="9"/>
      <color rgb="FF404040"/>
      <name val="Calibri"/>
      <family val="2"/>
      <charset val="162"/>
    </font>
    <font>
      <b/>
      <sz val="15"/>
      <color rgb="FFFFFFFF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C00000"/>
      <name val="Calibri"/>
      <family val="2"/>
      <charset val="162"/>
    </font>
    <font>
      <b/>
      <sz val="11"/>
      <color rgb="FF375623"/>
      <name val="Calibri"/>
      <family val="2"/>
      <charset val="162"/>
    </font>
    <font>
      <b/>
      <sz val="14"/>
      <color rgb="FFFFFFFF"/>
      <name val="Calibri"/>
      <family val="2"/>
      <charset val="162"/>
    </font>
    <font>
      <i/>
      <sz val="9"/>
      <color rgb="FFC00000"/>
      <name val="Calibri"/>
      <family val="2"/>
      <charset val="162"/>
    </font>
    <font>
      <sz val="10"/>
      <name val="Calibri"/>
      <family val="2"/>
      <charset val="162"/>
    </font>
    <font>
      <b/>
      <sz val="10"/>
      <color rgb="FF403151"/>
      <name val="Calibri"/>
      <family val="2"/>
      <charset val="162"/>
    </font>
  </fonts>
  <fills count="19">
    <fill>
      <patternFill patternType="none"/>
    </fill>
    <fill>
      <patternFill patternType="gray125"/>
    </fill>
    <fill>
      <patternFill patternType="solid">
        <fgColor rgb="FF1F3864"/>
        <bgColor rgb="FF403151"/>
      </patternFill>
    </fill>
    <fill>
      <patternFill patternType="solid">
        <fgColor rgb="FFF2F2F2"/>
        <bgColor rgb="FFE2EFDA"/>
      </patternFill>
    </fill>
    <fill>
      <patternFill patternType="solid">
        <fgColor rgb="FF2E75B6"/>
        <bgColor rgb="FF1F6391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DEEAF1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1F6391"/>
        <bgColor rgb="FF2F5496"/>
      </patternFill>
    </fill>
    <fill>
      <patternFill patternType="solid">
        <fgColor rgb="FF2F5496"/>
        <bgColor rgb="FF1F6391"/>
      </patternFill>
    </fill>
    <fill>
      <patternFill patternType="solid">
        <fgColor rgb="FFE2EFDA"/>
        <bgColor rgb="FFDEEAF1"/>
      </patternFill>
    </fill>
    <fill>
      <patternFill patternType="solid">
        <fgColor rgb="FF843C0C"/>
        <bgColor rgb="FF993366"/>
      </patternFill>
    </fill>
    <fill>
      <patternFill patternType="solid">
        <fgColor rgb="FF403151"/>
        <bgColor rgb="FF404040"/>
      </patternFill>
    </fill>
    <fill>
      <patternFill patternType="solid">
        <fgColor rgb="FFC00000"/>
        <bgColor rgb="FF800000"/>
      </patternFill>
    </fill>
    <fill>
      <patternFill patternType="solid">
        <fgColor rgb="FF375623"/>
        <bgColor rgb="FF404040"/>
      </patternFill>
    </fill>
    <fill>
      <patternFill patternType="solid">
        <fgColor rgb="FFFCE4D6"/>
        <bgColor rgb="FFFBE5D6"/>
      </patternFill>
    </fill>
    <fill>
      <patternFill patternType="solid">
        <fgColor rgb="FFEAE0F0"/>
        <bgColor rgb="FFDEEAF1"/>
      </patternFill>
    </fill>
    <fill>
      <patternFill patternType="solid">
        <fgColor rgb="FFFBE5D6"/>
        <bgColor rgb="FFFCE4D6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164" fontId="0" fillId="6" borderId="2" xfId="0" applyNumberFormat="1" applyFill="1" applyBorder="1" applyAlignment="1">
      <alignment horizontal="right" vertical="center"/>
    </xf>
    <xf numFmtId="9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right" vertical="center"/>
    </xf>
    <xf numFmtId="165" fontId="5" fillId="8" borderId="2" xfId="0" applyNumberFormat="1" applyFont="1" applyFill="1" applyBorder="1" applyAlignment="1">
      <alignment horizontal="right" vertical="center"/>
    </xf>
    <xf numFmtId="166" fontId="5" fillId="8" borderId="2" xfId="0" applyNumberFormat="1" applyFont="1" applyFill="1" applyBorder="1" applyAlignment="1">
      <alignment horizontal="right" vertical="center"/>
    </xf>
    <xf numFmtId="49" fontId="5" fillId="8" borderId="2" xfId="0" applyNumberFormat="1" applyFont="1" applyFill="1" applyBorder="1" applyAlignment="1">
      <alignment horizontal="right" vertical="center"/>
    </xf>
    <xf numFmtId="165" fontId="6" fillId="7" borderId="2" xfId="0" applyNumberFormat="1" applyFont="1" applyFill="1" applyBorder="1" applyAlignment="1">
      <alignment horizontal="right" vertical="center"/>
    </xf>
    <xf numFmtId="165" fontId="12" fillId="8" borderId="4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5" fontId="17" fillId="7" borderId="2" xfId="0" applyNumberFormat="1" applyFont="1" applyFill="1" applyBorder="1" applyAlignment="1">
      <alignment horizontal="center" vertical="center"/>
    </xf>
    <xf numFmtId="165" fontId="16" fillId="7" borderId="2" xfId="0" applyNumberFormat="1" applyFont="1" applyFill="1" applyBorder="1" applyAlignment="1">
      <alignment horizontal="center" vertical="center"/>
    </xf>
    <xf numFmtId="165" fontId="17" fillId="11" borderId="2" xfId="0" applyNumberFormat="1" applyFont="1" applyFill="1" applyBorder="1" applyAlignment="1">
      <alignment horizontal="center" vertical="center"/>
    </xf>
    <xf numFmtId="165" fontId="18" fillId="16" borderId="2" xfId="0" applyNumberFormat="1" applyFont="1" applyFill="1" applyBorder="1" applyAlignment="1">
      <alignment horizontal="center" vertical="center"/>
    </xf>
    <xf numFmtId="165" fontId="10" fillId="12" borderId="4" xfId="0" applyNumberFormat="1" applyFont="1" applyFill="1" applyBorder="1" applyAlignment="1">
      <alignment horizontal="center" vertical="center"/>
    </xf>
    <xf numFmtId="165" fontId="17" fillId="17" borderId="2" xfId="0" applyNumberFormat="1" applyFont="1" applyFill="1" applyBorder="1" applyAlignment="1">
      <alignment horizontal="center" vertical="center"/>
    </xf>
    <xf numFmtId="165" fontId="10" fillId="13" borderId="4" xfId="0" applyNumberFormat="1" applyFont="1" applyFill="1" applyBorder="1" applyAlignment="1">
      <alignment horizontal="center" vertical="center"/>
    </xf>
    <xf numFmtId="165" fontId="19" fillId="18" borderId="4" xfId="0" applyNumberFormat="1" applyFont="1" applyFill="1" applyBorder="1" applyAlignment="1">
      <alignment horizontal="center" vertical="center"/>
    </xf>
    <xf numFmtId="165" fontId="20" fillId="11" borderId="4" xfId="0" applyNumberFormat="1" applyFont="1" applyFill="1" applyBorder="1" applyAlignment="1">
      <alignment horizontal="center" vertical="center"/>
    </xf>
    <xf numFmtId="10" fontId="17" fillId="7" borderId="2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10" fontId="10" fillId="2" borderId="4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165" fontId="29" fillId="3" borderId="2" xfId="0" applyNumberFormat="1" applyFont="1" applyFill="1" applyBorder="1" applyAlignment="1">
      <alignment horizontal="center" vertical="center"/>
    </xf>
    <xf numFmtId="165" fontId="18" fillId="16" borderId="4" xfId="0" applyNumberFormat="1" applyFont="1" applyFill="1" applyBorder="1" applyAlignment="1">
      <alignment horizontal="center" vertical="center"/>
    </xf>
    <xf numFmtId="165" fontId="30" fillId="17" borderId="4" xfId="0" applyNumberFormat="1" applyFont="1" applyFill="1" applyBorder="1" applyAlignment="1">
      <alignment horizontal="center" vertical="center"/>
    </xf>
    <xf numFmtId="10" fontId="29" fillId="3" borderId="2" xfId="0" applyNumberFormat="1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left" vertical="center"/>
    </xf>
    <xf numFmtId="165" fontId="29" fillId="6" borderId="2" xfId="0" applyNumberFormat="1" applyFont="1" applyFill="1" applyBorder="1" applyAlignment="1">
      <alignment horizontal="center" vertical="center"/>
    </xf>
    <xf numFmtId="10" fontId="29" fillId="6" borderId="2" xfId="0" applyNumberFormat="1" applyFont="1" applyFill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right" vertical="center"/>
    </xf>
    <xf numFmtId="165" fontId="18" fillId="6" borderId="2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30" fillId="6" borderId="4" xfId="0" applyNumberFormat="1" applyFont="1" applyFill="1" applyBorder="1" applyAlignment="1">
      <alignment horizontal="center" vertical="center"/>
    </xf>
    <xf numFmtId="165" fontId="19" fillId="6" borderId="4" xfId="0" applyNumberFormat="1" applyFont="1" applyFill="1" applyBorder="1" applyAlignment="1">
      <alignment horizontal="center" vertical="center"/>
    </xf>
    <xf numFmtId="165" fontId="20" fillId="6" borderId="4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65" fontId="12" fillId="7" borderId="4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/>
    </xf>
    <xf numFmtId="49" fontId="12" fillId="8" borderId="4" xfId="0" applyNumberFormat="1" applyFont="1" applyFill="1" applyBorder="1" applyAlignment="1">
      <alignment horizontal="right" vertical="center"/>
    </xf>
    <xf numFmtId="165" fontId="12" fillId="8" borderId="4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10" fontId="24" fillId="7" borderId="4" xfId="0" applyNumberFormat="1" applyFont="1" applyFill="1" applyBorder="1" applyAlignment="1">
      <alignment horizontal="right" vertical="center"/>
    </xf>
    <xf numFmtId="165" fontId="24" fillId="6" borderId="4" xfId="0" applyNumberFormat="1" applyFont="1" applyFill="1" applyBorder="1" applyAlignment="1">
      <alignment horizontal="right" vertical="center"/>
    </xf>
    <xf numFmtId="165" fontId="25" fillId="18" borderId="4" xfId="0" applyNumberFormat="1" applyFont="1" applyFill="1" applyBorder="1" applyAlignment="1">
      <alignment horizontal="right" vertical="center"/>
    </xf>
    <xf numFmtId="165" fontId="26" fillId="11" borderId="4" xfId="0" applyNumberFormat="1" applyFont="1" applyFill="1" applyBorder="1" applyAlignment="1">
      <alignment horizontal="right" vertical="center"/>
    </xf>
    <xf numFmtId="165" fontId="24" fillId="16" borderId="4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95959"/>
      <rgbColor rgb="FF9999FF"/>
      <rgbColor rgb="FF993366"/>
      <rgbColor rgb="FFF2F2F2"/>
      <rgbColor rgb="FFDEEAF1"/>
      <rgbColor rgb="FF660066"/>
      <rgbColor rgb="FFFF8080"/>
      <rgbColor rgb="FF1F639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0F0"/>
      <rgbColor rgb="FFE2EFDA"/>
      <rgbColor rgb="FFFBE5D6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375623"/>
      <rgbColor rgb="FF404040"/>
      <rgbColor rgb="FF843C0C"/>
      <rgbColor rgb="FF993366"/>
      <rgbColor rgb="FF2F5496"/>
      <rgbColor rgb="FF403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Normal="100" workbookViewId="0">
      <selection activeCell="A23" sqref="A23"/>
    </sheetView>
  </sheetViews>
  <sheetFormatPr defaultColWidth="8.7109375" defaultRowHeight="15" x14ac:dyDescent="0.25"/>
  <cols>
    <col min="1" max="1" width="5" customWidth="1"/>
    <col min="2" max="2" width="30" customWidth="1"/>
    <col min="3" max="4" width="20" customWidth="1"/>
    <col min="5" max="5" width="40" customWidth="1"/>
    <col min="6" max="6" width="14" customWidth="1"/>
    <col min="7" max="7" width="20" bestFit="1" customWidth="1"/>
  </cols>
  <sheetData>
    <row r="1" spans="1:9" ht="37.5" customHeight="1" x14ac:dyDescent="0.25">
      <c r="A1" s="64" t="s">
        <v>0</v>
      </c>
      <c r="B1" s="64"/>
      <c r="C1" s="64"/>
      <c r="D1" s="64"/>
      <c r="E1" s="64"/>
      <c r="F1" s="64"/>
      <c r="G1" s="64"/>
    </row>
    <row r="2" spans="1:9" ht="15" customHeight="1" x14ac:dyDescent="0.25">
      <c r="A2" s="65" t="s">
        <v>1</v>
      </c>
      <c r="B2" s="65"/>
      <c r="C2" s="65"/>
      <c r="D2" s="65"/>
      <c r="E2" s="65"/>
      <c r="F2" s="65"/>
      <c r="G2" s="65"/>
    </row>
    <row r="4" spans="1:9" ht="21.75" customHeight="1" x14ac:dyDescent="0.25">
      <c r="A4" s="66" t="s">
        <v>2</v>
      </c>
      <c r="B4" s="66"/>
      <c r="C4" s="66"/>
      <c r="D4" s="66"/>
      <c r="E4" s="66"/>
      <c r="F4" s="66"/>
      <c r="G4" s="66"/>
    </row>
    <row r="5" spans="1:9" ht="27.75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I5" s="87"/>
    </row>
    <row r="6" spans="1:9" ht="22.5" customHeight="1" x14ac:dyDescent="0.25">
      <c r="A6" s="2">
        <v>1</v>
      </c>
      <c r="B6" s="3">
        <v>0</v>
      </c>
      <c r="C6" s="3">
        <v>190000</v>
      </c>
      <c r="D6" s="4">
        <v>0.15</v>
      </c>
      <c r="E6" s="5">
        <v>0</v>
      </c>
      <c r="F6" s="6">
        <v>0.15</v>
      </c>
      <c r="G6" s="7" t="s">
        <v>10</v>
      </c>
    </row>
    <row r="7" spans="1:9" ht="22.5" customHeight="1" x14ac:dyDescent="0.25">
      <c r="A7" s="2">
        <v>2</v>
      </c>
      <c r="B7" s="8">
        <v>190000</v>
      </c>
      <c r="C7" s="8">
        <v>400000</v>
      </c>
      <c r="D7" s="4">
        <v>0.2</v>
      </c>
      <c r="E7" s="5">
        <v>28500</v>
      </c>
      <c r="F7" s="9">
        <v>0.2</v>
      </c>
      <c r="G7" s="10" t="s">
        <v>11</v>
      </c>
    </row>
    <row r="8" spans="1:9" ht="22.5" customHeight="1" x14ac:dyDescent="0.25">
      <c r="A8" s="2">
        <v>3</v>
      </c>
      <c r="B8" s="3">
        <v>400000</v>
      </c>
      <c r="C8" s="3">
        <v>1500000</v>
      </c>
      <c r="D8" s="4">
        <v>0.27</v>
      </c>
      <c r="E8" s="5">
        <v>70500</v>
      </c>
      <c r="F8" s="6">
        <v>0.27</v>
      </c>
      <c r="G8" s="7" t="s">
        <v>12</v>
      </c>
    </row>
    <row r="9" spans="1:9" ht="22.5" customHeight="1" x14ac:dyDescent="0.25">
      <c r="A9" s="2">
        <v>4</v>
      </c>
      <c r="B9" s="8">
        <v>1500000</v>
      </c>
      <c r="C9" s="8">
        <v>5300000</v>
      </c>
      <c r="D9" s="4">
        <v>0.35</v>
      </c>
      <c r="E9" s="5">
        <v>367500</v>
      </c>
      <c r="F9" s="9">
        <v>0.35</v>
      </c>
      <c r="G9" s="10" t="s">
        <v>13</v>
      </c>
    </row>
    <row r="10" spans="1:9" ht="22.5" customHeight="1" x14ac:dyDescent="0.25">
      <c r="A10" s="2">
        <v>5</v>
      </c>
      <c r="B10" s="3">
        <v>5300000</v>
      </c>
      <c r="C10" s="11" t="s">
        <v>14</v>
      </c>
      <c r="D10" s="4">
        <v>0.4</v>
      </c>
      <c r="E10" s="5">
        <v>1697500</v>
      </c>
      <c r="F10" s="6">
        <v>0.4</v>
      </c>
      <c r="G10" s="7" t="s">
        <v>15</v>
      </c>
    </row>
    <row r="12" spans="1:9" ht="21.75" customHeight="1" x14ac:dyDescent="0.25">
      <c r="A12" s="66" t="s">
        <v>16</v>
      </c>
      <c r="B12" s="66"/>
      <c r="C12" s="66"/>
      <c r="D12" s="66"/>
      <c r="E12" s="66"/>
      <c r="F12" s="66"/>
      <c r="G12" s="66"/>
    </row>
    <row r="13" spans="1:9" ht="22.5" customHeight="1" x14ac:dyDescent="0.25">
      <c r="A13" s="2">
        <v>1</v>
      </c>
      <c r="B13" s="60" t="s">
        <v>17</v>
      </c>
      <c r="C13" s="60"/>
      <c r="D13" s="12">
        <v>33030</v>
      </c>
      <c r="E13" s="61" t="s">
        <v>18</v>
      </c>
      <c r="F13" s="61"/>
      <c r="G13" s="61"/>
    </row>
    <row r="14" spans="1:9" ht="22.5" customHeight="1" x14ac:dyDescent="0.25">
      <c r="A14" s="2">
        <v>2</v>
      </c>
      <c r="B14" s="60" t="s">
        <v>19</v>
      </c>
      <c r="C14" s="60"/>
      <c r="D14" s="12">
        <v>28075.5</v>
      </c>
      <c r="E14" s="61" t="s">
        <v>18</v>
      </c>
      <c r="F14" s="61"/>
      <c r="G14" s="61"/>
    </row>
    <row r="15" spans="1:9" ht="22.5" customHeight="1" x14ac:dyDescent="0.25">
      <c r="A15" s="2">
        <v>3</v>
      </c>
      <c r="B15" s="60" t="s">
        <v>20</v>
      </c>
      <c r="C15" s="60"/>
      <c r="D15" s="12">
        <v>297270</v>
      </c>
      <c r="E15" s="61" t="s">
        <v>21</v>
      </c>
      <c r="F15" s="61"/>
      <c r="G15" s="61"/>
    </row>
    <row r="16" spans="1:9" ht="22.5" customHeight="1" x14ac:dyDescent="0.25">
      <c r="A16" s="2">
        <v>4</v>
      </c>
      <c r="B16" s="60" t="s">
        <v>22</v>
      </c>
      <c r="C16" s="60"/>
      <c r="D16" s="13">
        <v>7.5900000000000004E-3</v>
      </c>
      <c r="E16" s="61" t="s">
        <v>23</v>
      </c>
      <c r="F16" s="61"/>
      <c r="G16" s="61"/>
    </row>
    <row r="17" spans="1:7" ht="22.5" customHeight="1" x14ac:dyDescent="0.25">
      <c r="A17" s="2">
        <v>5</v>
      </c>
      <c r="B17" s="60" t="s">
        <v>24</v>
      </c>
      <c r="C17" s="60"/>
      <c r="D17" s="14" t="s">
        <v>25</v>
      </c>
      <c r="E17" s="61" t="s">
        <v>26</v>
      </c>
      <c r="F17" s="61"/>
      <c r="G17" s="61"/>
    </row>
    <row r="18" spans="1:7" ht="22.5" customHeight="1" x14ac:dyDescent="0.25">
      <c r="A18" s="2">
        <v>6</v>
      </c>
      <c r="B18" s="60" t="s">
        <v>27</v>
      </c>
      <c r="C18" s="60"/>
      <c r="D18" s="12">
        <f>D13*0.85</f>
        <v>28075.5</v>
      </c>
      <c r="E18" s="62" t="s">
        <v>28</v>
      </c>
      <c r="F18" s="62"/>
      <c r="G18" s="62"/>
    </row>
    <row r="19" spans="1:7" ht="22.5" customHeight="1" x14ac:dyDescent="0.25">
      <c r="A19" s="2">
        <v>7</v>
      </c>
      <c r="B19" s="60" t="s">
        <v>29</v>
      </c>
      <c r="C19" s="60"/>
      <c r="D19" s="15">
        <f>D13*D16</f>
        <v>250.69770000000003</v>
      </c>
      <c r="E19" s="63" t="s">
        <v>30</v>
      </c>
      <c r="F19" s="63"/>
      <c r="G19" s="63"/>
    </row>
    <row r="20" spans="1:7" ht="22.5" customHeight="1" x14ac:dyDescent="0.25">
      <c r="A20" s="59" t="s">
        <v>31</v>
      </c>
      <c r="B20" s="59"/>
      <c r="C20" s="59"/>
      <c r="D20" s="59"/>
      <c r="E20" s="59"/>
      <c r="F20" s="59"/>
      <c r="G20" s="59"/>
    </row>
    <row r="21" spans="1:7" ht="22.5" customHeight="1" x14ac:dyDescent="0.25">
      <c r="A21" s="59" t="s">
        <v>131</v>
      </c>
      <c r="B21" s="59"/>
      <c r="C21" s="59"/>
      <c r="D21" s="59"/>
      <c r="E21" s="59"/>
      <c r="F21" s="59"/>
      <c r="G21" s="59"/>
    </row>
    <row r="22" spans="1:7" ht="22.5" customHeight="1" x14ac:dyDescent="0.25">
      <c r="A22" s="59" t="s">
        <v>132</v>
      </c>
      <c r="B22" s="59"/>
      <c r="C22" s="59"/>
      <c r="D22" s="59"/>
      <c r="E22" s="59"/>
      <c r="F22" s="59"/>
      <c r="G22" s="59"/>
    </row>
  </sheetData>
  <mergeCells count="21">
    <mergeCell ref="A21:G21"/>
    <mergeCell ref="A22:G22"/>
    <mergeCell ref="A1:G1"/>
    <mergeCell ref="A2:G2"/>
    <mergeCell ref="A4:G4"/>
    <mergeCell ref="A12:G12"/>
    <mergeCell ref="B13:C13"/>
    <mergeCell ref="E13:G13"/>
    <mergeCell ref="B14:C14"/>
    <mergeCell ref="E14:G14"/>
    <mergeCell ref="B15:C15"/>
    <mergeCell ref="E15:G15"/>
    <mergeCell ref="B16:C16"/>
    <mergeCell ref="E16:G16"/>
    <mergeCell ref="A20:G20"/>
    <mergeCell ref="B17:C17"/>
    <mergeCell ref="E17:G17"/>
    <mergeCell ref="B18:C18"/>
    <mergeCell ref="E18:G18"/>
    <mergeCell ref="B19:C19"/>
    <mergeCell ref="E19:G1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abSelected="1" zoomScaleNormal="100" workbookViewId="0">
      <selection activeCell="E8" sqref="E8:G8"/>
    </sheetView>
  </sheetViews>
  <sheetFormatPr defaultColWidth="8.7109375" defaultRowHeight="15" x14ac:dyDescent="0.25"/>
  <cols>
    <col min="1" max="1" width="10" customWidth="1"/>
    <col min="2" max="3" width="17" customWidth="1"/>
    <col min="4" max="4" width="18" customWidth="1"/>
    <col min="5" max="5" width="17" customWidth="1"/>
    <col min="6" max="7" width="16" customWidth="1"/>
    <col min="8" max="8" width="17" customWidth="1"/>
    <col min="9" max="10" width="16" customWidth="1"/>
    <col min="11" max="12" width="13" customWidth="1"/>
    <col min="13" max="13" width="14" customWidth="1"/>
    <col min="14" max="15" width="16" customWidth="1"/>
    <col min="16" max="16" width="12" customWidth="1"/>
  </cols>
  <sheetData>
    <row r="1" spans="1:16" ht="33.75" customHeight="1" x14ac:dyDescent="0.25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2.75" customHeight="1" x14ac:dyDescent="0.25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4.5" customHeight="1" x14ac:dyDescent="0.25"/>
    <row r="4" spans="1:16" ht="27.6" customHeight="1" x14ac:dyDescent="0.25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2.5" customHeight="1" x14ac:dyDescent="0.25">
      <c r="A5" s="69" t="s">
        <v>35</v>
      </c>
      <c r="B5" s="69"/>
      <c r="C5" s="69"/>
      <c r="D5" s="69"/>
      <c r="E5" s="72" t="s">
        <v>133</v>
      </c>
      <c r="F5" s="72"/>
      <c r="G5" s="72"/>
      <c r="H5" s="71" t="s">
        <v>36</v>
      </c>
      <c r="I5" s="71"/>
      <c r="J5" s="71"/>
      <c r="K5" s="71"/>
      <c r="L5" s="71"/>
      <c r="M5" s="71"/>
      <c r="N5" s="71"/>
      <c r="O5" s="71"/>
      <c r="P5" s="71"/>
    </row>
    <row r="6" spans="1:16" ht="22.5" customHeight="1" x14ac:dyDescent="0.25">
      <c r="A6" s="69" t="s">
        <v>37</v>
      </c>
      <c r="B6" s="69"/>
      <c r="C6" s="69"/>
      <c r="D6" s="69"/>
      <c r="E6" s="72" t="s">
        <v>38</v>
      </c>
      <c r="F6" s="72"/>
      <c r="G6" s="72"/>
      <c r="H6" s="71" t="s">
        <v>36</v>
      </c>
      <c r="I6" s="71"/>
      <c r="J6" s="71"/>
      <c r="K6" s="71"/>
      <c r="L6" s="71"/>
      <c r="M6" s="71"/>
      <c r="N6" s="71"/>
      <c r="O6" s="71"/>
      <c r="P6" s="71"/>
    </row>
    <row r="7" spans="1:16" ht="22.5" customHeight="1" x14ac:dyDescent="0.25">
      <c r="A7" s="69" t="s">
        <v>39</v>
      </c>
      <c r="B7" s="69"/>
      <c r="C7" s="69"/>
      <c r="D7" s="69"/>
      <c r="E7" s="73">
        <v>100000</v>
      </c>
      <c r="F7" s="73"/>
      <c r="G7" s="73"/>
      <c r="H7" s="71" t="s">
        <v>36</v>
      </c>
      <c r="I7" s="71"/>
      <c r="J7" s="71"/>
      <c r="K7" s="71"/>
      <c r="L7" s="71"/>
      <c r="M7" s="71"/>
      <c r="N7" s="71"/>
      <c r="O7" s="71"/>
      <c r="P7" s="71"/>
    </row>
    <row r="8" spans="1:16" ht="22.5" customHeight="1" x14ac:dyDescent="0.25">
      <c r="A8" s="69" t="s">
        <v>40</v>
      </c>
      <c r="B8" s="69"/>
      <c r="C8" s="69"/>
      <c r="D8" s="69"/>
      <c r="E8" s="70">
        <f>PARAMETRELER!D18</f>
        <v>28075.5</v>
      </c>
      <c r="F8" s="70"/>
      <c r="G8" s="70"/>
      <c r="H8" s="71" t="s">
        <v>41</v>
      </c>
      <c r="I8" s="71"/>
      <c r="J8" s="71"/>
      <c r="K8" s="71"/>
      <c r="L8" s="71"/>
      <c r="M8" s="71"/>
      <c r="N8" s="71"/>
      <c r="O8" s="71"/>
      <c r="P8" s="71"/>
    </row>
    <row r="9" spans="1:16" ht="22.5" customHeight="1" x14ac:dyDescent="0.25">
      <c r="A9" s="69" t="s">
        <v>29</v>
      </c>
      <c r="B9" s="69"/>
      <c r="C9" s="69"/>
      <c r="D9" s="69"/>
      <c r="E9" s="70">
        <f>PARAMETRELER!D19</f>
        <v>250.69770000000003</v>
      </c>
      <c r="F9" s="70"/>
      <c r="G9" s="70"/>
      <c r="H9" s="71" t="s">
        <v>41</v>
      </c>
      <c r="I9" s="71"/>
      <c r="J9" s="71"/>
      <c r="K9" s="71"/>
      <c r="L9" s="71"/>
      <c r="M9" s="71"/>
      <c r="N9" s="71"/>
      <c r="O9" s="71"/>
      <c r="P9" s="71"/>
    </row>
    <row r="10" spans="1:16" ht="4.5" customHeight="1" x14ac:dyDescent="0.25"/>
    <row r="11" spans="1:16" ht="27.6" customHeight="1" x14ac:dyDescent="0.25">
      <c r="A11" s="67" t="s">
        <v>42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43.5" customHeight="1" x14ac:dyDescent="0.25">
      <c r="A12" s="17" t="s">
        <v>43</v>
      </c>
      <c r="B12" s="18" t="s">
        <v>44</v>
      </c>
      <c r="C12" s="19" t="s">
        <v>45</v>
      </c>
      <c r="D12" s="20" t="s">
        <v>46</v>
      </c>
      <c r="E12" s="20" t="s">
        <v>47</v>
      </c>
      <c r="F12" s="20" t="s">
        <v>48</v>
      </c>
      <c r="G12" s="20" t="s">
        <v>49</v>
      </c>
      <c r="H12" s="21" t="s">
        <v>50</v>
      </c>
      <c r="I12" s="21" t="s">
        <v>51</v>
      </c>
      <c r="J12" s="22" t="s">
        <v>52</v>
      </c>
      <c r="K12" s="23" t="s">
        <v>53</v>
      </c>
      <c r="L12" s="21" t="s">
        <v>54</v>
      </c>
      <c r="M12" s="23" t="s">
        <v>55</v>
      </c>
      <c r="N12" s="24" t="s">
        <v>56</v>
      </c>
      <c r="O12" s="25" t="s">
        <v>57</v>
      </c>
      <c r="P12" s="20" t="s">
        <v>58</v>
      </c>
    </row>
    <row r="13" spans="1:16" ht="22.5" customHeight="1" x14ac:dyDescent="0.25">
      <c r="A13" s="26" t="s">
        <v>59</v>
      </c>
      <c r="B13" s="27">
        <f t="shared" ref="B13:B24" si="0">$E$7</f>
        <v>100000</v>
      </c>
      <c r="C13" s="28">
        <f>B13</f>
        <v>100000</v>
      </c>
      <c r="D13" s="28">
        <f>C13</f>
        <v>100000</v>
      </c>
      <c r="E13" s="28">
        <f>IF(D13&lt;=PARAMETRELER!B7,D13*PARAMETRELER!D6,IF(D13&lt;=PARAMETRELER!B8,PARAMETRELER!E7+(D13-PARAMETRELER!B7)*PARAMETRELER!D7,IF(D13&lt;=PARAMETRELER!B9,PARAMETRELER!E8+(D13-PARAMETRELER!B8)*PARAMETRELER!D8,IF(D13&lt;=PARAMETRELER!B10,PARAMETRELER!E9+(D13-PARAMETRELER!B9)*PARAMETRELER!D9,PARAMETRELER!E10+(D13-PARAMETRELER!B10)*PARAMETRELER!D10))))</f>
        <v>15000</v>
      </c>
      <c r="F13" s="28">
        <v>0</v>
      </c>
      <c r="G13" s="29">
        <f t="shared" ref="G13:G24" si="1">E13-F13</f>
        <v>15000</v>
      </c>
      <c r="H13" s="30">
        <f>PARAMETRELER!D18*1</f>
        <v>28075.5</v>
      </c>
      <c r="I13" s="31">
        <f>(IF(PARAMETRELER!D18*1&lt;=PARAMETRELER!B7,PARAMETRELER!D18*1*PARAMETRELER!D6,IF(PARAMETRELER!D18*1&lt;=PARAMETRELER!B8,PARAMETRELER!E7+(PARAMETRELER!D18*1-PARAMETRELER!B7)*PARAMETRELER!D7,IF(PARAMETRELER!D18*1&lt;=PARAMETRELER!B9,PARAMETRELER!E8+(PARAMETRELER!D18*1-PARAMETRELER!B8)*PARAMETRELER!D8,IF(PARAMETRELER!D18*1&lt;=PARAMETRELER!B10,PARAMETRELER!E9+(PARAMETRELER!D18*1-PARAMETRELER!B9)*PARAMETRELER!D9,PARAMETRELER!E10+(PARAMETRELER!D18*1-PARAMETRELER!B10)*PARAMETRELER!D10)))))-(0)</f>
        <v>4211.3249999999998</v>
      </c>
      <c r="J13" s="32">
        <f t="shared" ref="J13:J24" si="2">MAX(0,G13-I13)</f>
        <v>10788.674999999999</v>
      </c>
      <c r="K13" s="33">
        <f>B13*PARAMETRELER!D16</f>
        <v>759</v>
      </c>
      <c r="L13" s="31">
        <f t="shared" ref="L13:L24" si="3">$E$9</f>
        <v>250.69770000000003</v>
      </c>
      <c r="M13" s="34">
        <f t="shared" ref="M13:M24" si="4">MAX(0,K13-L13)</f>
        <v>508.30229999999995</v>
      </c>
      <c r="N13" s="35">
        <f t="shared" ref="N13:N24" si="5">J13+M13</f>
        <v>11296.977299999999</v>
      </c>
      <c r="O13" s="36">
        <f t="shared" ref="O13:O24" si="6">B13-N13</f>
        <v>88703.022700000001</v>
      </c>
      <c r="P13" s="37">
        <f t="shared" ref="P13:P25" si="7">IF(B13&gt;0,N13/B13,0)</f>
        <v>0.11296977299999998</v>
      </c>
    </row>
    <row r="14" spans="1:16" ht="22.5" customHeight="1" x14ac:dyDescent="0.25">
      <c r="A14" s="26" t="s">
        <v>60</v>
      </c>
      <c r="B14" s="38">
        <f t="shared" si="0"/>
        <v>100000</v>
      </c>
      <c r="C14" s="28">
        <f t="shared" ref="C14:C24" si="8">B14</f>
        <v>100000</v>
      </c>
      <c r="D14" s="28">
        <f t="shared" ref="D14:D24" si="9">D13+C14</f>
        <v>200000</v>
      </c>
      <c r="E14" s="28">
        <f>IF(D14&lt;=PARAMETRELER!B7,D14*PARAMETRELER!D6,IF(D14&lt;=PARAMETRELER!B8,PARAMETRELER!E7+(D14-PARAMETRELER!B7)*PARAMETRELER!D7,IF(D14&lt;=PARAMETRELER!B9,PARAMETRELER!E8+(D14-PARAMETRELER!B8)*PARAMETRELER!D8,IF(D14&lt;=PARAMETRELER!B10,PARAMETRELER!E9+(D14-PARAMETRELER!B9)*PARAMETRELER!D9,PARAMETRELER!E10+(D14-PARAMETRELER!B10)*PARAMETRELER!D10))))</f>
        <v>30500</v>
      </c>
      <c r="F14" s="28">
        <f t="shared" ref="F14:F24" si="10">E13</f>
        <v>15000</v>
      </c>
      <c r="G14" s="29">
        <f t="shared" si="1"/>
        <v>15500</v>
      </c>
      <c r="H14" s="30">
        <f>PARAMETRELER!D18*2</f>
        <v>56151</v>
      </c>
      <c r="I14" s="31">
        <f>(IF(PARAMETRELER!D18*2&lt;=PARAMETRELER!B7,PARAMETRELER!D18*2*PARAMETRELER!D6,IF(PARAMETRELER!D18*2&lt;=PARAMETRELER!B8,PARAMETRELER!E7+(PARAMETRELER!D18*2-PARAMETRELER!B7)*PARAMETRELER!D7,IF(PARAMETRELER!D18*2&lt;=PARAMETRELER!B9,PARAMETRELER!E8+(PARAMETRELER!D18*2-PARAMETRELER!B8)*PARAMETRELER!D8,IF(PARAMETRELER!D18*2&lt;=PARAMETRELER!B10,PARAMETRELER!E9+(PARAMETRELER!D18*2-PARAMETRELER!B9)*PARAMETRELER!D9,PARAMETRELER!E10+(PARAMETRELER!D18*2-PARAMETRELER!B10)*PARAMETRELER!D10)))))-(IF(PARAMETRELER!D18*1&lt;=PARAMETRELER!B7,PARAMETRELER!D18*1*PARAMETRELER!D6,IF(PARAMETRELER!D18*1&lt;=PARAMETRELER!B8,PARAMETRELER!E7+(PARAMETRELER!D18*1-PARAMETRELER!B7)*PARAMETRELER!D7,IF(PARAMETRELER!D18*1&lt;=PARAMETRELER!B9,PARAMETRELER!E8+(PARAMETRELER!D18*1-PARAMETRELER!B8)*PARAMETRELER!D8,IF(PARAMETRELER!D18*1&lt;=PARAMETRELER!B10,PARAMETRELER!E9+(PARAMETRELER!D18*1-PARAMETRELER!B9)*PARAMETRELER!D9,PARAMETRELER!E10+(PARAMETRELER!D18*1-PARAMETRELER!B10)*PARAMETRELER!D10)))))</f>
        <v>4211.3249999999998</v>
      </c>
      <c r="J14" s="32">
        <f t="shared" si="2"/>
        <v>11288.674999999999</v>
      </c>
      <c r="K14" s="33">
        <f>B14*PARAMETRELER!D16</f>
        <v>759</v>
      </c>
      <c r="L14" s="31">
        <f t="shared" si="3"/>
        <v>250.69770000000003</v>
      </c>
      <c r="M14" s="34">
        <f t="shared" si="4"/>
        <v>508.30229999999995</v>
      </c>
      <c r="N14" s="35">
        <f t="shared" si="5"/>
        <v>11796.977299999999</v>
      </c>
      <c r="O14" s="36">
        <f t="shared" si="6"/>
        <v>88203.022700000001</v>
      </c>
      <c r="P14" s="37">
        <f t="shared" si="7"/>
        <v>0.11796977299999999</v>
      </c>
    </row>
    <row r="15" spans="1:16" ht="22.5" customHeight="1" x14ac:dyDescent="0.25">
      <c r="A15" s="26" t="s">
        <v>61</v>
      </c>
      <c r="B15" s="27">
        <f t="shared" si="0"/>
        <v>100000</v>
      </c>
      <c r="C15" s="28">
        <f t="shared" si="8"/>
        <v>100000</v>
      </c>
      <c r="D15" s="28">
        <f t="shared" si="9"/>
        <v>300000</v>
      </c>
      <c r="E15" s="28">
        <f>IF(D15&lt;=PARAMETRELER!B7,D15*PARAMETRELER!D6,IF(D15&lt;=PARAMETRELER!B8,PARAMETRELER!E7+(D15-PARAMETRELER!B7)*PARAMETRELER!D7,IF(D15&lt;=PARAMETRELER!B9,PARAMETRELER!E8+(D15-PARAMETRELER!B8)*PARAMETRELER!D8,IF(D15&lt;=PARAMETRELER!B10,PARAMETRELER!E9+(D15-PARAMETRELER!B9)*PARAMETRELER!D9,PARAMETRELER!E10+(D15-PARAMETRELER!B10)*PARAMETRELER!D10))))</f>
        <v>50500</v>
      </c>
      <c r="F15" s="28">
        <f t="shared" si="10"/>
        <v>30500</v>
      </c>
      <c r="G15" s="29">
        <f t="shared" si="1"/>
        <v>20000</v>
      </c>
      <c r="H15" s="30">
        <f>PARAMETRELER!D18*3</f>
        <v>84226.5</v>
      </c>
      <c r="I15" s="31">
        <f>(IF(PARAMETRELER!D18*3&lt;=PARAMETRELER!B7,PARAMETRELER!D18*3*PARAMETRELER!D6,IF(PARAMETRELER!D18*3&lt;=PARAMETRELER!B8,PARAMETRELER!E7+(PARAMETRELER!D18*3-PARAMETRELER!B7)*PARAMETRELER!D7,IF(PARAMETRELER!D18*3&lt;=PARAMETRELER!B9,PARAMETRELER!E8+(PARAMETRELER!D18*3-PARAMETRELER!B8)*PARAMETRELER!D8,IF(PARAMETRELER!D18*3&lt;=PARAMETRELER!B10,PARAMETRELER!E9+(PARAMETRELER!D18*3-PARAMETRELER!B9)*PARAMETRELER!D9,PARAMETRELER!E10+(PARAMETRELER!D18*3-PARAMETRELER!B10)*PARAMETRELER!D10)))))-(IF(PARAMETRELER!D18*2&lt;=PARAMETRELER!B7,PARAMETRELER!D18*2*PARAMETRELER!D6,IF(PARAMETRELER!D18*2&lt;=PARAMETRELER!B8,PARAMETRELER!E7+(PARAMETRELER!D18*2-PARAMETRELER!B7)*PARAMETRELER!D7,IF(PARAMETRELER!D18*2&lt;=PARAMETRELER!B9,PARAMETRELER!E8+(PARAMETRELER!D18*2-PARAMETRELER!B8)*PARAMETRELER!D8,IF(PARAMETRELER!D18*2&lt;=PARAMETRELER!B10,PARAMETRELER!E9+(PARAMETRELER!D18*2-PARAMETRELER!B9)*PARAMETRELER!D9,PARAMETRELER!E10+(PARAMETRELER!D18*2-PARAMETRELER!B10)*PARAMETRELER!D10)))))</f>
        <v>4211.3250000000007</v>
      </c>
      <c r="J15" s="32">
        <f t="shared" si="2"/>
        <v>15788.674999999999</v>
      </c>
      <c r="K15" s="33">
        <f>B15*PARAMETRELER!D16</f>
        <v>759</v>
      </c>
      <c r="L15" s="31">
        <f t="shared" si="3"/>
        <v>250.69770000000003</v>
      </c>
      <c r="M15" s="34">
        <f t="shared" si="4"/>
        <v>508.30229999999995</v>
      </c>
      <c r="N15" s="35">
        <f t="shared" si="5"/>
        <v>16296.977299999999</v>
      </c>
      <c r="O15" s="36">
        <f t="shared" si="6"/>
        <v>83703.022700000001</v>
      </c>
      <c r="P15" s="37">
        <f t="shared" si="7"/>
        <v>0.16296977299999998</v>
      </c>
    </row>
    <row r="16" spans="1:16" ht="22.5" customHeight="1" x14ac:dyDescent="0.25">
      <c r="A16" s="26" t="s">
        <v>62</v>
      </c>
      <c r="B16" s="38">
        <f t="shared" si="0"/>
        <v>100000</v>
      </c>
      <c r="C16" s="28">
        <f t="shared" si="8"/>
        <v>100000</v>
      </c>
      <c r="D16" s="28">
        <f t="shared" si="9"/>
        <v>400000</v>
      </c>
      <c r="E16" s="28">
        <f>IF(D16&lt;=PARAMETRELER!B7,D16*PARAMETRELER!D6,IF(D16&lt;=PARAMETRELER!B8,PARAMETRELER!E7+(D16-PARAMETRELER!B7)*PARAMETRELER!D7,IF(D16&lt;=PARAMETRELER!B9,PARAMETRELER!E8+(D16-PARAMETRELER!B8)*PARAMETRELER!D8,IF(D16&lt;=PARAMETRELER!B10,PARAMETRELER!E9+(D16-PARAMETRELER!B9)*PARAMETRELER!D9,PARAMETRELER!E10+(D16-PARAMETRELER!B10)*PARAMETRELER!D10))))</f>
        <v>70500</v>
      </c>
      <c r="F16" s="28">
        <f t="shared" si="10"/>
        <v>50500</v>
      </c>
      <c r="G16" s="29">
        <f t="shared" si="1"/>
        <v>20000</v>
      </c>
      <c r="H16" s="30">
        <f>PARAMETRELER!D18*4</f>
        <v>112302</v>
      </c>
      <c r="I16" s="31">
        <f>(IF(PARAMETRELER!D18*4&lt;=PARAMETRELER!B7,PARAMETRELER!D18*4*PARAMETRELER!D6,IF(PARAMETRELER!D18*4&lt;=PARAMETRELER!B8,PARAMETRELER!E7+(PARAMETRELER!D18*4-PARAMETRELER!B7)*PARAMETRELER!D7,IF(PARAMETRELER!D18*4&lt;=PARAMETRELER!B9,PARAMETRELER!E8+(PARAMETRELER!D18*4-PARAMETRELER!B8)*PARAMETRELER!D8,IF(PARAMETRELER!D18*4&lt;=PARAMETRELER!B10,PARAMETRELER!E9+(PARAMETRELER!D18*4-PARAMETRELER!B9)*PARAMETRELER!D9,PARAMETRELER!E10+(PARAMETRELER!D18*4-PARAMETRELER!B10)*PARAMETRELER!D10)))))-(IF(PARAMETRELER!D18*3&lt;=PARAMETRELER!B7,PARAMETRELER!D18*3*PARAMETRELER!D6,IF(PARAMETRELER!D18*3&lt;=PARAMETRELER!B8,PARAMETRELER!E7+(PARAMETRELER!D18*3-PARAMETRELER!B7)*PARAMETRELER!D7,IF(PARAMETRELER!D18*3&lt;=PARAMETRELER!B9,PARAMETRELER!E8+(PARAMETRELER!D18*3-PARAMETRELER!B8)*PARAMETRELER!D8,IF(PARAMETRELER!D18*3&lt;=PARAMETRELER!B10,PARAMETRELER!E9+(PARAMETRELER!D18*3-PARAMETRELER!B9)*PARAMETRELER!D9,PARAMETRELER!E10+(PARAMETRELER!D18*3-PARAMETRELER!B10)*PARAMETRELER!D10)))))</f>
        <v>4211.3249999999989</v>
      </c>
      <c r="J16" s="32">
        <f t="shared" si="2"/>
        <v>15788.675000000001</v>
      </c>
      <c r="K16" s="33">
        <f>B16*PARAMETRELER!D16</f>
        <v>759</v>
      </c>
      <c r="L16" s="31">
        <f t="shared" si="3"/>
        <v>250.69770000000003</v>
      </c>
      <c r="M16" s="34">
        <f t="shared" si="4"/>
        <v>508.30229999999995</v>
      </c>
      <c r="N16" s="35">
        <f t="shared" si="5"/>
        <v>16296.9773</v>
      </c>
      <c r="O16" s="36">
        <f t="shared" si="6"/>
        <v>83703.022700000001</v>
      </c>
      <c r="P16" s="37">
        <f t="shared" si="7"/>
        <v>0.16296977300000001</v>
      </c>
    </row>
    <row r="17" spans="1:16" ht="22.5" customHeight="1" x14ac:dyDescent="0.25">
      <c r="A17" s="26" t="s">
        <v>63</v>
      </c>
      <c r="B17" s="27">
        <f t="shared" si="0"/>
        <v>100000</v>
      </c>
      <c r="C17" s="28">
        <f t="shared" si="8"/>
        <v>100000</v>
      </c>
      <c r="D17" s="28">
        <f t="shared" si="9"/>
        <v>500000</v>
      </c>
      <c r="E17" s="28">
        <f>IF(D17&lt;=PARAMETRELER!B7,D17*PARAMETRELER!D6,IF(D17&lt;=PARAMETRELER!B8,PARAMETRELER!E7+(D17-PARAMETRELER!B7)*PARAMETRELER!D7,IF(D17&lt;=PARAMETRELER!B9,PARAMETRELER!E8+(D17-PARAMETRELER!B8)*PARAMETRELER!D8,IF(D17&lt;=PARAMETRELER!B10,PARAMETRELER!E9+(D17-PARAMETRELER!B9)*PARAMETRELER!D9,PARAMETRELER!E10+(D17-PARAMETRELER!B10)*PARAMETRELER!D10))))</f>
        <v>97500</v>
      </c>
      <c r="F17" s="28">
        <f t="shared" si="10"/>
        <v>70500</v>
      </c>
      <c r="G17" s="29">
        <f t="shared" si="1"/>
        <v>27000</v>
      </c>
      <c r="H17" s="30">
        <f>PARAMETRELER!D18*5</f>
        <v>140377.5</v>
      </c>
      <c r="I17" s="31">
        <f>(IF(PARAMETRELER!D18*5&lt;=PARAMETRELER!B7,PARAMETRELER!D18*5*PARAMETRELER!D6,IF(PARAMETRELER!D18*5&lt;=PARAMETRELER!B8,PARAMETRELER!E7+(PARAMETRELER!D18*5-PARAMETRELER!B7)*PARAMETRELER!D7,IF(PARAMETRELER!D18*5&lt;=PARAMETRELER!B9,PARAMETRELER!E8+(PARAMETRELER!D18*5-PARAMETRELER!B8)*PARAMETRELER!D8,IF(PARAMETRELER!D18*5&lt;=PARAMETRELER!B10,PARAMETRELER!E9+(PARAMETRELER!D18*5-PARAMETRELER!B9)*PARAMETRELER!D9,PARAMETRELER!E10+(PARAMETRELER!D18*5-PARAMETRELER!B10)*PARAMETRELER!D10)))))-(IF(PARAMETRELER!D18*4&lt;=PARAMETRELER!B7,PARAMETRELER!D18*4*PARAMETRELER!D6,IF(PARAMETRELER!D18*4&lt;=PARAMETRELER!B8,PARAMETRELER!E7+(PARAMETRELER!D18*4-PARAMETRELER!B7)*PARAMETRELER!D7,IF(PARAMETRELER!D18*4&lt;=PARAMETRELER!B9,PARAMETRELER!E8+(PARAMETRELER!D18*4-PARAMETRELER!B8)*PARAMETRELER!D8,IF(PARAMETRELER!D18*4&lt;=PARAMETRELER!B10,PARAMETRELER!E9+(PARAMETRELER!D18*4-PARAMETRELER!B9)*PARAMETRELER!D9,PARAMETRELER!E10+(PARAMETRELER!D18*4-PARAMETRELER!B10)*PARAMETRELER!D10)))))</f>
        <v>4211.3250000000007</v>
      </c>
      <c r="J17" s="32">
        <f t="shared" si="2"/>
        <v>22788.674999999999</v>
      </c>
      <c r="K17" s="33">
        <f>B17*PARAMETRELER!D16</f>
        <v>759</v>
      </c>
      <c r="L17" s="31">
        <f t="shared" si="3"/>
        <v>250.69770000000003</v>
      </c>
      <c r="M17" s="34">
        <f t="shared" si="4"/>
        <v>508.30229999999995</v>
      </c>
      <c r="N17" s="35">
        <f t="shared" si="5"/>
        <v>23296.977299999999</v>
      </c>
      <c r="O17" s="36">
        <f t="shared" si="6"/>
        <v>76703.022700000001</v>
      </c>
      <c r="P17" s="37">
        <f t="shared" si="7"/>
        <v>0.23296977299999999</v>
      </c>
    </row>
    <row r="18" spans="1:16" ht="22.5" customHeight="1" x14ac:dyDescent="0.25">
      <c r="A18" s="26" t="s">
        <v>64</v>
      </c>
      <c r="B18" s="38">
        <f t="shared" si="0"/>
        <v>100000</v>
      </c>
      <c r="C18" s="28">
        <f t="shared" si="8"/>
        <v>100000</v>
      </c>
      <c r="D18" s="28">
        <f t="shared" si="9"/>
        <v>600000</v>
      </c>
      <c r="E18" s="28">
        <f>IF(D18&lt;=PARAMETRELER!B7,D18*PARAMETRELER!D6,IF(D18&lt;=PARAMETRELER!B8,PARAMETRELER!E7+(D18-PARAMETRELER!B7)*PARAMETRELER!D7,IF(D18&lt;=PARAMETRELER!B9,PARAMETRELER!E8+(D18-PARAMETRELER!B8)*PARAMETRELER!D8,IF(D18&lt;=PARAMETRELER!B10,PARAMETRELER!E9+(D18-PARAMETRELER!B9)*PARAMETRELER!D9,PARAMETRELER!E10+(D18-PARAMETRELER!B10)*PARAMETRELER!D10))))</f>
        <v>124500</v>
      </c>
      <c r="F18" s="28">
        <f t="shared" si="10"/>
        <v>97500</v>
      </c>
      <c r="G18" s="29">
        <f t="shared" si="1"/>
        <v>27000</v>
      </c>
      <c r="H18" s="30">
        <f>PARAMETRELER!D18*6</f>
        <v>168453</v>
      </c>
      <c r="I18" s="31">
        <f>(IF(PARAMETRELER!D18*6&lt;=PARAMETRELER!B7,PARAMETRELER!D18*6*PARAMETRELER!D6,IF(PARAMETRELER!D18*6&lt;=PARAMETRELER!B8,PARAMETRELER!E7+(PARAMETRELER!D18*6-PARAMETRELER!B7)*PARAMETRELER!D7,IF(PARAMETRELER!D18*6&lt;=PARAMETRELER!B9,PARAMETRELER!E8+(PARAMETRELER!D18*6-PARAMETRELER!B8)*PARAMETRELER!D8,IF(PARAMETRELER!D18*6&lt;=PARAMETRELER!B10,PARAMETRELER!E9+(PARAMETRELER!D18*6-PARAMETRELER!B9)*PARAMETRELER!D9,PARAMETRELER!E10+(PARAMETRELER!D18*6-PARAMETRELER!B10)*PARAMETRELER!D10)))))-(IF(PARAMETRELER!D18*5&lt;=PARAMETRELER!B7,PARAMETRELER!D18*5*PARAMETRELER!D6,IF(PARAMETRELER!D18*5&lt;=PARAMETRELER!B8,PARAMETRELER!E7+(PARAMETRELER!D18*5-PARAMETRELER!B7)*PARAMETRELER!D7,IF(PARAMETRELER!D18*5&lt;=PARAMETRELER!B9,PARAMETRELER!E8+(PARAMETRELER!D18*5-PARAMETRELER!B8)*PARAMETRELER!D8,IF(PARAMETRELER!D18*5&lt;=PARAMETRELER!B10,PARAMETRELER!E9+(PARAMETRELER!D18*5-PARAMETRELER!B9)*PARAMETRELER!D9,PARAMETRELER!E10+(PARAMETRELER!D18*5-PARAMETRELER!B10)*PARAMETRELER!D10)))))</f>
        <v>4211.3250000000007</v>
      </c>
      <c r="J18" s="32">
        <f t="shared" si="2"/>
        <v>22788.674999999999</v>
      </c>
      <c r="K18" s="33">
        <f>B18*PARAMETRELER!D16</f>
        <v>759</v>
      </c>
      <c r="L18" s="31">
        <f t="shared" si="3"/>
        <v>250.69770000000003</v>
      </c>
      <c r="M18" s="34">
        <f t="shared" si="4"/>
        <v>508.30229999999995</v>
      </c>
      <c r="N18" s="35">
        <f t="shared" si="5"/>
        <v>23296.977299999999</v>
      </c>
      <c r="O18" s="36">
        <f t="shared" si="6"/>
        <v>76703.022700000001</v>
      </c>
      <c r="P18" s="37">
        <f t="shared" si="7"/>
        <v>0.23296977299999999</v>
      </c>
    </row>
    <row r="19" spans="1:16" ht="22.5" customHeight="1" x14ac:dyDescent="0.25">
      <c r="A19" s="26" t="s">
        <v>65</v>
      </c>
      <c r="B19" s="27">
        <f t="shared" si="0"/>
        <v>100000</v>
      </c>
      <c r="C19" s="28">
        <f t="shared" si="8"/>
        <v>100000</v>
      </c>
      <c r="D19" s="28">
        <f t="shared" si="9"/>
        <v>700000</v>
      </c>
      <c r="E19" s="28">
        <f>IF(D19&lt;=PARAMETRELER!B7,D19*PARAMETRELER!D6,IF(D19&lt;=PARAMETRELER!B8,PARAMETRELER!E7+(D19-PARAMETRELER!B7)*PARAMETRELER!D7,IF(D19&lt;=PARAMETRELER!B9,PARAMETRELER!E8+(D19-PARAMETRELER!B8)*PARAMETRELER!D8,IF(D19&lt;=PARAMETRELER!B10,PARAMETRELER!E9+(D19-PARAMETRELER!B9)*PARAMETRELER!D9,PARAMETRELER!E10+(D19-PARAMETRELER!B10)*PARAMETRELER!D10))))</f>
        <v>151500</v>
      </c>
      <c r="F19" s="28">
        <f t="shared" si="10"/>
        <v>124500</v>
      </c>
      <c r="G19" s="29">
        <f t="shared" si="1"/>
        <v>27000</v>
      </c>
      <c r="H19" s="30">
        <f>PARAMETRELER!D18*7</f>
        <v>196528.5</v>
      </c>
      <c r="I19" s="31">
        <f>(IF(PARAMETRELER!D18*7&lt;=PARAMETRELER!B7,PARAMETRELER!D18*7*PARAMETRELER!D6,IF(PARAMETRELER!D18*7&lt;=PARAMETRELER!B8,PARAMETRELER!E7+(PARAMETRELER!D18*7-PARAMETRELER!B7)*PARAMETRELER!D7,IF(PARAMETRELER!D18*7&lt;=PARAMETRELER!B9,PARAMETRELER!E8+(PARAMETRELER!D18*7-PARAMETRELER!B8)*PARAMETRELER!D8,IF(PARAMETRELER!D18*7&lt;=PARAMETRELER!B10,PARAMETRELER!E9+(PARAMETRELER!D18*7-PARAMETRELER!B9)*PARAMETRELER!D9,PARAMETRELER!E10+(PARAMETRELER!D18*7-PARAMETRELER!B10)*PARAMETRELER!D10)))))-(IF(PARAMETRELER!D18*6&lt;=PARAMETRELER!B7,PARAMETRELER!D18*6*PARAMETRELER!D6,IF(PARAMETRELER!D18*6&lt;=PARAMETRELER!B8,PARAMETRELER!E7+(PARAMETRELER!D18*6-PARAMETRELER!B7)*PARAMETRELER!D7,IF(PARAMETRELER!D18*6&lt;=PARAMETRELER!B9,PARAMETRELER!E8+(PARAMETRELER!D18*6-PARAMETRELER!B8)*PARAMETRELER!D8,IF(PARAMETRELER!D18*6&lt;=PARAMETRELER!B10,PARAMETRELER!E9+(PARAMETRELER!D18*6-PARAMETRELER!B9)*PARAMETRELER!D9,PARAMETRELER!E10+(PARAMETRELER!D18*6-PARAMETRELER!B10)*PARAMETRELER!D10)))))</f>
        <v>4537.75</v>
      </c>
      <c r="J19" s="32">
        <f t="shared" si="2"/>
        <v>22462.25</v>
      </c>
      <c r="K19" s="33">
        <f>B19*PARAMETRELER!D16</f>
        <v>759</v>
      </c>
      <c r="L19" s="31">
        <f t="shared" si="3"/>
        <v>250.69770000000003</v>
      </c>
      <c r="M19" s="34">
        <f t="shared" si="4"/>
        <v>508.30229999999995</v>
      </c>
      <c r="N19" s="35">
        <f t="shared" si="5"/>
        <v>22970.552299999999</v>
      </c>
      <c r="O19" s="36">
        <f t="shared" si="6"/>
        <v>77029.447700000004</v>
      </c>
      <c r="P19" s="37">
        <f t="shared" si="7"/>
        <v>0.22970552299999999</v>
      </c>
    </row>
    <row r="20" spans="1:16" ht="22.5" customHeight="1" x14ac:dyDescent="0.25">
      <c r="A20" s="26" t="s">
        <v>66</v>
      </c>
      <c r="B20" s="38">
        <f t="shared" si="0"/>
        <v>100000</v>
      </c>
      <c r="C20" s="28">
        <f t="shared" si="8"/>
        <v>100000</v>
      </c>
      <c r="D20" s="28">
        <f t="shared" si="9"/>
        <v>800000</v>
      </c>
      <c r="E20" s="28">
        <f>IF(D20&lt;=PARAMETRELER!B7,D20*PARAMETRELER!D6,IF(D20&lt;=PARAMETRELER!B8,PARAMETRELER!E7+(D20-PARAMETRELER!B7)*PARAMETRELER!D7,IF(D20&lt;=PARAMETRELER!B9,PARAMETRELER!E8+(D20-PARAMETRELER!B8)*PARAMETRELER!D8,IF(D20&lt;=PARAMETRELER!B10,PARAMETRELER!E9+(D20-PARAMETRELER!B9)*PARAMETRELER!D9,PARAMETRELER!E10+(D20-PARAMETRELER!B10)*PARAMETRELER!D10))))</f>
        <v>178500</v>
      </c>
      <c r="F20" s="28">
        <f t="shared" si="10"/>
        <v>151500</v>
      </c>
      <c r="G20" s="29">
        <f t="shared" si="1"/>
        <v>27000</v>
      </c>
      <c r="H20" s="30">
        <f>PARAMETRELER!D18*8</f>
        <v>224604</v>
      </c>
      <c r="I20" s="31">
        <f>(IF(PARAMETRELER!D18*8&lt;=PARAMETRELER!B7,PARAMETRELER!D18*8*PARAMETRELER!D6,IF(PARAMETRELER!D18*8&lt;=PARAMETRELER!B8,PARAMETRELER!E7+(PARAMETRELER!D18*8-PARAMETRELER!B7)*PARAMETRELER!D7,IF(PARAMETRELER!D18*8&lt;=PARAMETRELER!B9,PARAMETRELER!E8+(PARAMETRELER!D18*8-PARAMETRELER!B8)*PARAMETRELER!D8,IF(PARAMETRELER!D18*8&lt;=PARAMETRELER!B10,PARAMETRELER!E9+(PARAMETRELER!D18*8-PARAMETRELER!B9)*PARAMETRELER!D9,PARAMETRELER!E10+(PARAMETRELER!D18*8-PARAMETRELER!B10)*PARAMETRELER!D10)))))-(IF(PARAMETRELER!D18*7&lt;=PARAMETRELER!B7,PARAMETRELER!D18*7*PARAMETRELER!D6,IF(PARAMETRELER!D18*7&lt;=PARAMETRELER!B8,PARAMETRELER!E7+(PARAMETRELER!D18*7-PARAMETRELER!B7)*PARAMETRELER!D7,IF(PARAMETRELER!D18*7&lt;=PARAMETRELER!B9,PARAMETRELER!E8+(PARAMETRELER!D18*7-PARAMETRELER!B8)*PARAMETRELER!D8,IF(PARAMETRELER!D18*7&lt;=PARAMETRELER!B10,PARAMETRELER!E9+(PARAMETRELER!D18*7-PARAMETRELER!B9)*PARAMETRELER!D9,PARAMETRELER!E10+(PARAMETRELER!D18*7-PARAMETRELER!B10)*PARAMETRELER!D10)))))</f>
        <v>5615.1000000000022</v>
      </c>
      <c r="J20" s="32">
        <f t="shared" si="2"/>
        <v>21384.899999999998</v>
      </c>
      <c r="K20" s="33">
        <f>B20*PARAMETRELER!D16</f>
        <v>759</v>
      </c>
      <c r="L20" s="31">
        <f t="shared" si="3"/>
        <v>250.69770000000003</v>
      </c>
      <c r="M20" s="34">
        <f t="shared" si="4"/>
        <v>508.30229999999995</v>
      </c>
      <c r="N20" s="35">
        <f t="shared" si="5"/>
        <v>21893.202299999997</v>
      </c>
      <c r="O20" s="36">
        <f t="shared" si="6"/>
        <v>78106.797699999996</v>
      </c>
      <c r="P20" s="37">
        <f t="shared" si="7"/>
        <v>0.21893202299999998</v>
      </c>
    </row>
    <row r="21" spans="1:16" ht="22.5" customHeight="1" x14ac:dyDescent="0.25">
      <c r="A21" s="26" t="s">
        <v>67</v>
      </c>
      <c r="B21" s="27">
        <f t="shared" si="0"/>
        <v>100000</v>
      </c>
      <c r="C21" s="28">
        <f t="shared" si="8"/>
        <v>100000</v>
      </c>
      <c r="D21" s="28">
        <f t="shared" si="9"/>
        <v>900000</v>
      </c>
      <c r="E21" s="28">
        <f>IF(D21&lt;=PARAMETRELER!B7,D21*PARAMETRELER!D6,IF(D21&lt;=PARAMETRELER!B8,PARAMETRELER!E7+(D21-PARAMETRELER!B7)*PARAMETRELER!D7,IF(D21&lt;=PARAMETRELER!B9,PARAMETRELER!E8+(D21-PARAMETRELER!B8)*PARAMETRELER!D8,IF(D21&lt;=PARAMETRELER!B10,PARAMETRELER!E9+(D21-PARAMETRELER!B9)*PARAMETRELER!D9,PARAMETRELER!E10+(D21-PARAMETRELER!B10)*PARAMETRELER!D10))))</f>
        <v>205500</v>
      </c>
      <c r="F21" s="28">
        <f t="shared" si="10"/>
        <v>178500</v>
      </c>
      <c r="G21" s="29">
        <f t="shared" si="1"/>
        <v>27000</v>
      </c>
      <c r="H21" s="30">
        <f>PARAMETRELER!D18*9</f>
        <v>252679.5</v>
      </c>
      <c r="I21" s="31">
        <f>(IF(PARAMETRELER!D18*9&lt;=PARAMETRELER!B7,PARAMETRELER!D18*9*PARAMETRELER!D6,IF(PARAMETRELER!D18*9&lt;=PARAMETRELER!B8,PARAMETRELER!E7+(PARAMETRELER!D18*9-PARAMETRELER!B7)*PARAMETRELER!D7,IF(PARAMETRELER!D18*9&lt;=PARAMETRELER!B9,PARAMETRELER!E8+(PARAMETRELER!D18*9-PARAMETRELER!B8)*PARAMETRELER!D8,IF(PARAMETRELER!D18*9&lt;=PARAMETRELER!B10,PARAMETRELER!E9+(PARAMETRELER!D18*9-PARAMETRELER!B9)*PARAMETRELER!D9,PARAMETRELER!E10+(PARAMETRELER!D18*9-PARAMETRELER!B10)*PARAMETRELER!D10)))))-(IF(PARAMETRELER!D18*8&lt;=PARAMETRELER!B7,PARAMETRELER!D18*8*PARAMETRELER!D6,IF(PARAMETRELER!D18*8&lt;=PARAMETRELER!B8,PARAMETRELER!E7+(PARAMETRELER!D18*8-PARAMETRELER!B7)*PARAMETRELER!D7,IF(PARAMETRELER!D18*8&lt;=PARAMETRELER!B9,PARAMETRELER!E8+(PARAMETRELER!D18*8-PARAMETRELER!B8)*PARAMETRELER!D8,IF(PARAMETRELER!D18*8&lt;=PARAMETRELER!B10,PARAMETRELER!E9+(PARAMETRELER!D18*8-PARAMETRELER!B9)*PARAMETRELER!D9,PARAMETRELER!E10+(PARAMETRELER!D18*8-PARAMETRELER!B10)*PARAMETRELER!D10)))))</f>
        <v>5615.0999999999985</v>
      </c>
      <c r="J21" s="32">
        <f t="shared" si="2"/>
        <v>21384.9</v>
      </c>
      <c r="K21" s="33">
        <f>B21*PARAMETRELER!D16</f>
        <v>759</v>
      </c>
      <c r="L21" s="31">
        <f t="shared" si="3"/>
        <v>250.69770000000003</v>
      </c>
      <c r="M21" s="34">
        <f t="shared" si="4"/>
        <v>508.30229999999995</v>
      </c>
      <c r="N21" s="35">
        <f t="shared" si="5"/>
        <v>21893.202300000001</v>
      </c>
      <c r="O21" s="36">
        <f t="shared" si="6"/>
        <v>78106.797699999996</v>
      </c>
      <c r="P21" s="37">
        <f t="shared" si="7"/>
        <v>0.218932023</v>
      </c>
    </row>
    <row r="22" spans="1:16" ht="22.5" customHeight="1" x14ac:dyDescent="0.25">
      <c r="A22" s="26" t="s">
        <v>68</v>
      </c>
      <c r="B22" s="38">
        <f t="shared" si="0"/>
        <v>100000</v>
      </c>
      <c r="C22" s="28">
        <f t="shared" si="8"/>
        <v>100000</v>
      </c>
      <c r="D22" s="28">
        <f t="shared" si="9"/>
        <v>1000000</v>
      </c>
      <c r="E22" s="28">
        <f>IF(D22&lt;=PARAMETRELER!B7,D22*PARAMETRELER!D6,IF(D22&lt;=PARAMETRELER!B8,PARAMETRELER!E7+(D22-PARAMETRELER!B7)*PARAMETRELER!D7,IF(D22&lt;=PARAMETRELER!B9,PARAMETRELER!E8+(D22-PARAMETRELER!B8)*PARAMETRELER!D8,IF(D22&lt;=PARAMETRELER!B10,PARAMETRELER!E9+(D22-PARAMETRELER!B9)*PARAMETRELER!D9,PARAMETRELER!E10+(D22-PARAMETRELER!B10)*PARAMETRELER!D10))))</f>
        <v>232500</v>
      </c>
      <c r="F22" s="28">
        <f t="shared" si="10"/>
        <v>205500</v>
      </c>
      <c r="G22" s="29">
        <f t="shared" si="1"/>
        <v>27000</v>
      </c>
      <c r="H22" s="30">
        <f>PARAMETRELER!D18*10</f>
        <v>280755</v>
      </c>
      <c r="I22" s="31">
        <f>(IF(PARAMETRELER!D18*10&lt;=PARAMETRELER!B7,PARAMETRELER!D18*10*PARAMETRELER!D6,IF(PARAMETRELER!D18*10&lt;=PARAMETRELER!B8,PARAMETRELER!E7+(PARAMETRELER!D18*10-PARAMETRELER!B7)*PARAMETRELER!D7,IF(PARAMETRELER!D18*10&lt;=PARAMETRELER!B9,PARAMETRELER!E8+(PARAMETRELER!D18*10-PARAMETRELER!B8)*PARAMETRELER!D8,IF(PARAMETRELER!D18*10&lt;=PARAMETRELER!B10,PARAMETRELER!E9+(PARAMETRELER!D18*10-PARAMETRELER!B9)*PARAMETRELER!D9,PARAMETRELER!E10+(PARAMETRELER!D18*10-PARAMETRELER!B10)*PARAMETRELER!D10)))))-(IF(PARAMETRELER!D18*9&lt;=PARAMETRELER!B7,PARAMETRELER!D18*9*PARAMETRELER!D6,IF(PARAMETRELER!D18*9&lt;=PARAMETRELER!B8,PARAMETRELER!E7+(PARAMETRELER!D18*9-PARAMETRELER!B7)*PARAMETRELER!D7,IF(PARAMETRELER!D18*9&lt;=PARAMETRELER!B9,PARAMETRELER!E8+(PARAMETRELER!D18*9-PARAMETRELER!B8)*PARAMETRELER!D8,IF(PARAMETRELER!D18*9&lt;=PARAMETRELER!B10,PARAMETRELER!E9+(PARAMETRELER!D18*9-PARAMETRELER!B9)*PARAMETRELER!D9,PARAMETRELER!E10+(PARAMETRELER!D18*9-PARAMETRELER!B10)*PARAMETRELER!D10)))))</f>
        <v>5615.0999999999985</v>
      </c>
      <c r="J22" s="32">
        <f t="shared" si="2"/>
        <v>21384.9</v>
      </c>
      <c r="K22" s="33">
        <f>B22*PARAMETRELER!D16</f>
        <v>759</v>
      </c>
      <c r="L22" s="31">
        <f t="shared" si="3"/>
        <v>250.69770000000003</v>
      </c>
      <c r="M22" s="34">
        <f t="shared" si="4"/>
        <v>508.30229999999995</v>
      </c>
      <c r="N22" s="35">
        <f t="shared" si="5"/>
        <v>21893.202300000001</v>
      </c>
      <c r="O22" s="36">
        <f t="shared" si="6"/>
        <v>78106.797699999996</v>
      </c>
      <c r="P22" s="37">
        <f t="shared" si="7"/>
        <v>0.218932023</v>
      </c>
    </row>
    <row r="23" spans="1:16" ht="22.5" customHeight="1" x14ac:dyDescent="0.25">
      <c r="A23" s="26" t="s">
        <v>69</v>
      </c>
      <c r="B23" s="27">
        <f t="shared" si="0"/>
        <v>100000</v>
      </c>
      <c r="C23" s="28">
        <f t="shared" si="8"/>
        <v>100000</v>
      </c>
      <c r="D23" s="28">
        <f t="shared" si="9"/>
        <v>1100000</v>
      </c>
      <c r="E23" s="28">
        <f>IF(D23&lt;=PARAMETRELER!B7,D23*PARAMETRELER!D6,IF(D23&lt;=PARAMETRELER!B8,PARAMETRELER!E7+(D23-PARAMETRELER!B7)*PARAMETRELER!D7,IF(D23&lt;=PARAMETRELER!B9,PARAMETRELER!E8+(D23-PARAMETRELER!B8)*PARAMETRELER!D8,IF(D23&lt;=PARAMETRELER!B10,PARAMETRELER!E9+(D23-PARAMETRELER!B9)*PARAMETRELER!D9,PARAMETRELER!E10+(D23-PARAMETRELER!B10)*PARAMETRELER!D10))))</f>
        <v>259500</v>
      </c>
      <c r="F23" s="28">
        <f t="shared" si="10"/>
        <v>232500</v>
      </c>
      <c r="G23" s="29">
        <f t="shared" si="1"/>
        <v>27000</v>
      </c>
      <c r="H23" s="30">
        <f>PARAMETRELER!D18*11</f>
        <v>308830.5</v>
      </c>
      <c r="I23" s="31">
        <f>(IF(PARAMETRELER!D18*11&lt;=PARAMETRELER!B7,PARAMETRELER!D18*11*PARAMETRELER!D6,IF(PARAMETRELER!D18*11&lt;=PARAMETRELER!B8,PARAMETRELER!E7+(PARAMETRELER!D18*11-PARAMETRELER!B7)*PARAMETRELER!D7,IF(PARAMETRELER!D18*11&lt;=PARAMETRELER!B9,PARAMETRELER!E8+(PARAMETRELER!D18*11-PARAMETRELER!B8)*PARAMETRELER!D8,IF(PARAMETRELER!D18*11&lt;=PARAMETRELER!B10,PARAMETRELER!E9+(PARAMETRELER!D18*11-PARAMETRELER!B9)*PARAMETRELER!D9,PARAMETRELER!E10+(PARAMETRELER!D18*11-PARAMETRELER!B10)*PARAMETRELER!D10)))))-(IF(PARAMETRELER!D18*10&lt;=PARAMETRELER!B7,PARAMETRELER!D18*10*PARAMETRELER!D6,IF(PARAMETRELER!D18*10&lt;=PARAMETRELER!B8,PARAMETRELER!E7+(PARAMETRELER!D18*10-PARAMETRELER!B7)*PARAMETRELER!D7,IF(PARAMETRELER!D18*10&lt;=PARAMETRELER!B9,PARAMETRELER!E8+(PARAMETRELER!D18*10-PARAMETRELER!B8)*PARAMETRELER!D8,IF(PARAMETRELER!D18*10&lt;=PARAMETRELER!B10,PARAMETRELER!E9+(PARAMETRELER!D18*10-PARAMETRELER!B9)*PARAMETRELER!D9,PARAMETRELER!E10+(PARAMETRELER!D18*10-PARAMETRELER!B10)*PARAMETRELER!D10)))))</f>
        <v>5615.1000000000058</v>
      </c>
      <c r="J23" s="32">
        <f t="shared" si="2"/>
        <v>21384.899999999994</v>
      </c>
      <c r="K23" s="33">
        <f>B23*PARAMETRELER!D16</f>
        <v>759</v>
      </c>
      <c r="L23" s="31">
        <f t="shared" si="3"/>
        <v>250.69770000000003</v>
      </c>
      <c r="M23" s="34">
        <f t="shared" si="4"/>
        <v>508.30229999999995</v>
      </c>
      <c r="N23" s="35">
        <f t="shared" si="5"/>
        <v>21893.202299999994</v>
      </c>
      <c r="O23" s="36">
        <f t="shared" si="6"/>
        <v>78106.79770000001</v>
      </c>
      <c r="P23" s="37">
        <f t="shared" si="7"/>
        <v>0.21893202299999995</v>
      </c>
    </row>
    <row r="24" spans="1:16" ht="22.5" customHeight="1" x14ac:dyDescent="0.25">
      <c r="A24" s="26" t="s">
        <v>70</v>
      </c>
      <c r="B24" s="38">
        <f t="shared" si="0"/>
        <v>100000</v>
      </c>
      <c r="C24" s="28">
        <f t="shared" si="8"/>
        <v>100000</v>
      </c>
      <c r="D24" s="28">
        <f t="shared" si="9"/>
        <v>1200000</v>
      </c>
      <c r="E24" s="28">
        <f>IF(D24&lt;=PARAMETRELER!B7,D24*PARAMETRELER!D6,IF(D24&lt;=PARAMETRELER!B8,PARAMETRELER!E7+(D24-PARAMETRELER!B7)*PARAMETRELER!D7,IF(D24&lt;=PARAMETRELER!B9,PARAMETRELER!E8+(D24-PARAMETRELER!B8)*PARAMETRELER!D8,IF(D24&lt;=PARAMETRELER!B10,PARAMETRELER!E9+(D24-PARAMETRELER!B9)*PARAMETRELER!D9,PARAMETRELER!E10+(D24-PARAMETRELER!B10)*PARAMETRELER!D10))))</f>
        <v>286500</v>
      </c>
      <c r="F24" s="28">
        <f t="shared" si="10"/>
        <v>259500</v>
      </c>
      <c r="G24" s="29">
        <f t="shared" si="1"/>
        <v>27000</v>
      </c>
      <c r="H24" s="30">
        <f>PARAMETRELER!D18*12</f>
        <v>336906</v>
      </c>
      <c r="I24" s="31">
        <f>(IF(PARAMETRELER!D18*12&lt;=PARAMETRELER!B7,PARAMETRELER!D18*12*PARAMETRELER!D6,IF(PARAMETRELER!D18*12&lt;=PARAMETRELER!B8,PARAMETRELER!E7+(PARAMETRELER!D18*12-PARAMETRELER!B7)*PARAMETRELER!D7,IF(PARAMETRELER!D18*12&lt;=PARAMETRELER!B9,PARAMETRELER!E8+(PARAMETRELER!D18*12-PARAMETRELER!B8)*PARAMETRELER!D8,IF(PARAMETRELER!D18*12&lt;=PARAMETRELER!B10,PARAMETRELER!E9+(PARAMETRELER!D18*12-PARAMETRELER!B9)*PARAMETRELER!D9,PARAMETRELER!E10+(PARAMETRELER!D18*12-PARAMETRELER!B10)*PARAMETRELER!D10)))))-(IF(PARAMETRELER!D18*11&lt;=PARAMETRELER!B7,PARAMETRELER!D18*11*PARAMETRELER!D6,IF(PARAMETRELER!D18*11&lt;=PARAMETRELER!B8,PARAMETRELER!E7+(PARAMETRELER!D18*11-PARAMETRELER!B7)*PARAMETRELER!D7,IF(PARAMETRELER!D18*11&lt;=PARAMETRELER!B9,PARAMETRELER!E8+(PARAMETRELER!D18*11-PARAMETRELER!B8)*PARAMETRELER!D8,IF(PARAMETRELER!D18*11&lt;=PARAMETRELER!B10,PARAMETRELER!E9+(PARAMETRELER!D18*11-PARAMETRELER!B9)*PARAMETRELER!D9,PARAMETRELER!E10+(PARAMETRELER!D18*11-PARAMETRELER!B10)*PARAMETRELER!D10)))))</f>
        <v>5615.0999999999913</v>
      </c>
      <c r="J24" s="32">
        <f t="shared" si="2"/>
        <v>21384.900000000009</v>
      </c>
      <c r="K24" s="33">
        <f>B24*PARAMETRELER!D16</f>
        <v>759</v>
      </c>
      <c r="L24" s="31">
        <f t="shared" si="3"/>
        <v>250.69770000000003</v>
      </c>
      <c r="M24" s="34">
        <f t="shared" si="4"/>
        <v>508.30229999999995</v>
      </c>
      <c r="N24" s="35">
        <f t="shared" si="5"/>
        <v>21893.202300000008</v>
      </c>
      <c r="O24" s="36">
        <f t="shared" si="6"/>
        <v>78106.797699999996</v>
      </c>
      <c r="P24" s="37">
        <f t="shared" si="7"/>
        <v>0.21893202300000009</v>
      </c>
    </row>
    <row r="25" spans="1:16" ht="27.6" customHeight="1" x14ac:dyDescent="0.25">
      <c r="A25" s="39" t="s">
        <v>71</v>
      </c>
      <c r="B25" s="40">
        <f>SUM(B13:B24)</f>
        <v>1200000</v>
      </c>
      <c r="C25" s="40">
        <f>SUM(C13:C24)</f>
        <v>1200000</v>
      </c>
      <c r="D25" s="40">
        <f>SUM(D13:D24)</f>
        <v>7800000</v>
      </c>
      <c r="E25" s="39" t="s">
        <v>25</v>
      </c>
      <c r="F25" s="39" t="s">
        <v>25</v>
      </c>
      <c r="G25" s="40">
        <f t="shared" ref="G25:O25" si="11">SUM(G13:G24)</f>
        <v>286500</v>
      </c>
      <c r="H25" s="40">
        <f t="shared" si="11"/>
        <v>2189889</v>
      </c>
      <c r="I25" s="40">
        <f t="shared" si="11"/>
        <v>57881.2</v>
      </c>
      <c r="J25" s="40">
        <f t="shared" si="11"/>
        <v>228618.8</v>
      </c>
      <c r="K25" s="40">
        <f t="shared" si="11"/>
        <v>9108</v>
      </c>
      <c r="L25" s="40">
        <f t="shared" si="11"/>
        <v>3008.3724000000007</v>
      </c>
      <c r="M25" s="40">
        <f t="shared" si="11"/>
        <v>6099.6275999999998</v>
      </c>
      <c r="N25" s="40">
        <f t="shared" si="11"/>
        <v>234718.4276</v>
      </c>
      <c r="O25" s="40">
        <f t="shared" si="11"/>
        <v>965281.57239999995</v>
      </c>
      <c r="P25" s="41">
        <f t="shared" si="7"/>
        <v>0.19559868966666666</v>
      </c>
    </row>
    <row r="26" spans="1:16" ht="4.5" customHeight="1" x14ac:dyDescent="0.25"/>
    <row r="27" spans="1:16" ht="39.75" customHeight="1" x14ac:dyDescent="0.25">
      <c r="A27" s="68" t="s">
        <v>72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</sheetData>
  <mergeCells count="20">
    <mergeCell ref="A1:P1"/>
    <mergeCell ref="A2:P2"/>
    <mergeCell ref="A4:P4"/>
    <mergeCell ref="A5:D5"/>
    <mergeCell ref="E5:G5"/>
    <mergeCell ref="H5:P5"/>
    <mergeCell ref="A6:D6"/>
    <mergeCell ref="E6:G6"/>
    <mergeCell ref="H6:P6"/>
    <mergeCell ref="A7:D7"/>
    <mergeCell ref="E7:G7"/>
    <mergeCell ref="H7:P7"/>
    <mergeCell ref="A11:P11"/>
    <mergeCell ref="A27:P27"/>
    <mergeCell ref="A8:D8"/>
    <mergeCell ref="E8:G8"/>
    <mergeCell ref="H8:P8"/>
    <mergeCell ref="A9:D9"/>
    <mergeCell ref="E9:G9"/>
    <mergeCell ref="H9:P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zoomScaleNormal="100" workbookViewId="0">
      <selection activeCell="H3" sqref="H3"/>
    </sheetView>
  </sheetViews>
  <sheetFormatPr defaultColWidth="8.7109375" defaultRowHeight="15" x14ac:dyDescent="0.25"/>
  <cols>
    <col min="1" max="1" width="6" customWidth="1"/>
    <col min="2" max="2" width="20" customWidth="1"/>
    <col min="3" max="4" width="14" customWidth="1"/>
    <col min="5" max="5" width="20" customWidth="1"/>
    <col min="6" max="6" width="14" customWidth="1"/>
  </cols>
  <sheetData>
    <row r="1" spans="1:6" ht="33.75" customHeight="1" x14ac:dyDescent="0.25">
      <c r="A1" s="83" t="s">
        <v>73</v>
      </c>
      <c r="B1" s="83"/>
      <c r="C1" s="83"/>
      <c r="D1" s="83"/>
      <c r="E1" s="83"/>
      <c r="F1" s="83"/>
    </row>
    <row r="2" spans="1:6" ht="23.25" customHeight="1" x14ac:dyDescent="0.25">
      <c r="A2" s="75" t="s">
        <v>74</v>
      </c>
      <c r="B2" s="75"/>
      <c r="C2" s="75"/>
      <c r="D2" s="75"/>
      <c r="E2" s="75"/>
      <c r="F2" s="75"/>
    </row>
    <row r="4" spans="1:6" ht="27.6" customHeight="1" x14ac:dyDescent="0.25">
      <c r="A4" s="67" t="s">
        <v>75</v>
      </c>
      <c r="B4" s="67"/>
      <c r="C4" s="67"/>
      <c r="D4" s="67"/>
      <c r="E4" s="67"/>
      <c r="F4" s="67"/>
    </row>
    <row r="5" spans="1:6" ht="22.5" customHeight="1" x14ac:dyDescent="0.25">
      <c r="A5" s="42" t="s">
        <v>76</v>
      </c>
      <c r="B5" s="69" t="s">
        <v>77</v>
      </c>
      <c r="C5" s="69"/>
      <c r="D5" s="69"/>
      <c r="E5" s="79">
        <f>HESAPLAMA!B13</f>
        <v>100000</v>
      </c>
      <c r="F5" s="79"/>
    </row>
    <row r="6" spans="1:6" ht="22.5" customHeight="1" x14ac:dyDescent="0.25">
      <c r="A6" s="42" t="s">
        <v>78</v>
      </c>
      <c r="B6" s="69" t="s">
        <v>79</v>
      </c>
      <c r="C6" s="69"/>
      <c r="D6" s="69"/>
      <c r="E6" s="79">
        <f>HESAPLAMA!G13</f>
        <v>15000</v>
      </c>
      <c r="F6" s="79"/>
    </row>
    <row r="7" spans="1:6" ht="22.5" customHeight="1" x14ac:dyDescent="0.25">
      <c r="A7" s="42" t="s">
        <v>80</v>
      </c>
      <c r="B7" s="69" t="s">
        <v>81</v>
      </c>
      <c r="C7" s="69"/>
      <c r="D7" s="69"/>
      <c r="E7" s="82">
        <f>HESAPLAMA!I13</f>
        <v>4211.3249999999998</v>
      </c>
      <c r="F7" s="82"/>
    </row>
    <row r="8" spans="1:6" ht="22.5" customHeight="1" x14ac:dyDescent="0.25">
      <c r="A8" s="42" t="s">
        <v>82</v>
      </c>
      <c r="B8" s="69" t="s">
        <v>83</v>
      </c>
      <c r="C8" s="69"/>
      <c r="D8" s="69"/>
      <c r="E8" s="80">
        <f>HESAPLAMA!J13</f>
        <v>10788.674999999999</v>
      </c>
      <c r="F8" s="80"/>
    </row>
    <row r="9" spans="1:6" ht="22.5" customHeight="1" x14ac:dyDescent="0.25">
      <c r="A9" s="42" t="s">
        <v>84</v>
      </c>
      <c r="B9" s="69" t="s">
        <v>85</v>
      </c>
      <c r="C9" s="69"/>
      <c r="D9" s="69"/>
      <c r="E9" s="79">
        <f>HESAPLAMA!M13</f>
        <v>508.30229999999995</v>
      </c>
      <c r="F9" s="79"/>
    </row>
    <row r="10" spans="1:6" ht="22.5" customHeight="1" x14ac:dyDescent="0.25">
      <c r="A10" s="42" t="s">
        <v>86</v>
      </c>
      <c r="B10" s="69" t="s">
        <v>87</v>
      </c>
      <c r="C10" s="69"/>
      <c r="D10" s="69"/>
      <c r="E10" s="80">
        <f>HESAPLAMA!N13</f>
        <v>11296.977299999999</v>
      </c>
      <c r="F10" s="80"/>
    </row>
    <row r="11" spans="1:6" ht="22.5" customHeight="1" x14ac:dyDescent="0.25">
      <c r="A11" s="42" t="s">
        <v>88</v>
      </c>
      <c r="B11" s="69" t="s">
        <v>89</v>
      </c>
      <c r="C11" s="69"/>
      <c r="D11" s="69"/>
      <c r="E11" s="81">
        <f>HESAPLAMA!O13</f>
        <v>88703.022700000001</v>
      </c>
      <c r="F11" s="81"/>
    </row>
    <row r="12" spans="1:6" ht="22.5" customHeight="1" x14ac:dyDescent="0.25">
      <c r="A12" s="42" t="s">
        <v>90</v>
      </c>
      <c r="B12" s="69" t="s">
        <v>91</v>
      </c>
      <c r="C12" s="69"/>
      <c r="D12" s="69"/>
      <c r="E12" s="78">
        <f>IF(HESAPLAMA!B13&gt;0,HESAPLAMA!N13/HESAPLAMA!B13,0)</f>
        <v>0.11296977299999998</v>
      </c>
      <c r="F12" s="78"/>
    </row>
    <row r="14" spans="1:6" ht="4.5" customHeight="1" x14ac:dyDescent="0.25"/>
    <row r="15" spans="1:6" ht="27.6" customHeight="1" x14ac:dyDescent="0.25">
      <c r="A15" s="67" t="s">
        <v>92</v>
      </c>
      <c r="B15" s="67"/>
      <c r="C15" s="67"/>
      <c r="D15" s="67"/>
      <c r="E15" s="67"/>
      <c r="F15" s="67"/>
    </row>
    <row r="16" spans="1:6" ht="22.5" customHeight="1" x14ac:dyDescent="0.25">
      <c r="A16" s="42" t="s">
        <v>76</v>
      </c>
      <c r="B16" s="69" t="s">
        <v>77</v>
      </c>
      <c r="C16" s="69"/>
      <c r="D16" s="69"/>
      <c r="E16" s="79">
        <f>HESAPLAMA!B24</f>
        <v>100000</v>
      </c>
      <c r="F16" s="79"/>
    </row>
    <row r="17" spans="1:6" ht="22.5" customHeight="1" x14ac:dyDescent="0.25">
      <c r="A17" s="42" t="s">
        <v>78</v>
      </c>
      <c r="B17" s="69" t="s">
        <v>79</v>
      </c>
      <c r="C17" s="69"/>
      <c r="D17" s="69"/>
      <c r="E17" s="79">
        <f>HESAPLAMA!G24</f>
        <v>27000</v>
      </c>
      <c r="F17" s="79"/>
    </row>
    <row r="18" spans="1:6" ht="22.5" customHeight="1" x14ac:dyDescent="0.25">
      <c r="A18" s="42" t="s">
        <v>80</v>
      </c>
      <c r="B18" s="69" t="s">
        <v>81</v>
      </c>
      <c r="C18" s="69"/>
      <c r="D18" s="69"/>
      <c r="E18" s="82">
        <f>HESAPLAMA!I24</f>
        <v>5615.0999999999913</v>
      </c>
      <c r="F18" s="82"/>
    </row>
    <row r="19" spans="1:6" ht="22.5" customHeight="1" x14ac:dyDescent="0.25">
      <c r="A19" s="42" t="s">
        <v>82</v>
      </c>
      <c r="B19" s="69" t="s">
        <v>83</v>
      </c>
      <c r="C19" s="69"/>
      <c r="D19" s="69"/>
      <c r="E19" s="80">
        <f>HESAPLAMA!J24</f>
        <v>21384.900000000009</v>
      </c>
      <c r="F19" s="80"/>
    </row>
    <row r="20" spans="1:6" ht="22.5" customHeight="1" x14ac:dyDescent="0.25">
      <c r="A20" s="42" t="s">
        <v>84</v>
      </c>
      <c r="B20" s="69" t="s">
        <v>85</v>
      </c>
      <c r="C20" s="69"/>
      <c r="D20" s="69"/>
      <c r="E20" s="79">
        <f>HESAPLAMA!M24</f>
        <v>508.30229999999995</v>
      </c>
      <c r="F20" s="79"/>
    </row>
    <row r="21" spans="1:6" ht="22.5" customHeight="1" x14ac:dyDescent="0.25">
      <c r="A21" s="42" t="s">
        <v>86</v>
      </c>
      <c r="B21" s="69" t="s">
        <v>87</v>
      </c>
      <c r="C21" s="69"/>
      <c r="D21" s="69"/>
      <c r="E21" s="80">
        <f>HESAPLAMA!N24</f>
        <v>21893.202300000008</v>
      </c>
      <c r="F21" s="80"/>
    </row>
    <row r="22" spans="1:6" ht="22.5" customHeight="1" x14ac:dyDescent="0.25">
      <c r="A22" s="42" t="s">
        <v>88</v>
      </c>
      <c r="B22" s="69" t="s">
        <v>93</v>
      </c>
      <c r="C22" s="69"/>
      <c r="D22" s="69"/>
      <c r="E22" s="81">
        <f>HESAPLAMA!O24</f>
        <v>78106.797699999996</v>
      </c>
      <c r="F22" s="81"/>
    </row>
    <row r="23" spans="1:6" ht="22.5" customHeight="1" x14ac:dyDescent="0.25">
      <c r="A23" s="42" t="s">
        <v>90</v>
      </c>
      <c r="B23" s="69" t="s">
        <v>91</v>
      </c>
      <c r="C23" s="69"/>
      <c r="D23" s="69"/>
      <c r="E23" s="78">
        <f>IF(HESAPLAMA!B24&gt;0,HESAPLAMA!N24/HESAPLAMA!B24,0)</f>
        <v>0.21893202300000009</v>
      </c>
      <c r="F23" s="78"/>
    </row>
    <row r="25" spans="1:6" ht="4.5" customHeight="1" x14ac:dyDescent="0.25"/>
    <row r="26" spans="1:6" ht="27.6" customHeight="1" x14ac:dyDescent="0.25">
      <c r="A26" s="67" t="s">
        <v>94</v>
      </c>
      <c r="B26" s="67"/>
      <c r="C26" s="67"/>
      <c r="D26" s="67"/>
      <c r="E26" s="67"/>
      <c r="F26" s="67"/>
    </row>
    <row r="27" spans="1:6" ht="22.5" customHeight="1" x14ac:dyDescent="0.25">
      <c r="A27" s="42" t="s">
        <v>95</v>
      </c>
      <c r="B27" s="69" t="s">
        <v>96</v>
      </c>
      <c r="C27" s="69"/>
      <c r="D27" s="69"/>
      <c r="E27" s="79">
        <f>HESAPLAMA!B25</f>
        <v>1200000</v>
      </c>
      <c r="F27" s="79"/>
    </row>
    <row r="28" spans="1:6" ht="22.5" customHeight="1" x14ac:dyDescent="0.25">
      <c r="A28" s="42" t="s">
        <v>97</v>
      </c>
      <c r="B28" s="69" t="s">
        <v>98</v>
      </c>
      <c r="C28" s="69"/>
      <c r="D28" s="69"/>
      <c r="E28" s="79">
        <f>HESAPLAMA!G25</f>
        <v>286500</v>
      </c>
      <c r="F28" s="79"/>
    </row>
    <row r="29" spans="1:6" ht="22.5" customHeight="1" x14ac:dyDescent="0.25">
      <c r="A29" s="42" t="s">
        <v>99</v>
      </c>
      <c r="B29" s="69" t="s">
        <v>100</v>
      </c>
      <c r="C29" s="69"/>
      <c r="D29" s="69"/>
      <c r="E29" s="82">
        <f>HESAPLAMA!I25</f>
        <v>57881.2</v>
      </c>
      <c r="F29" s="82"/>
    </row>
    <row r="30" spans="1:6" ht="22.5" customHeight="1" x14ac:dyDescent="0.25">
      <c r="A30" s="42" t="s">
        <v>101</v>
      </c>
      <c r="B30" s="69" t="s">
        <v>102</v>
      </c>
      <c r="C30" s="69"/>
      <c r="D30" s="69"/>
      <c r="E30" s="80">
        <f>HESAPLAMA!J25</f>
        <v>228618.8</v>
      </c>
      <c r="F30" s="80"/>
    </row>
    <row r="31" spans="1:6" ht="22.5" customHeight="1" x14ac:dyDescent="0.25">
      <c r="A31" s="42" t="s">
        <v>103</v>
      </c>
      <c r="B31" s="69" t="s">
        <v>104</v>
      </c>
      <c r="C31" s="69"/>
      <c r="D31" s="69"/>
      <c r="E31" s="79">
        <f>HESAPLAMA!M25</f>
        <v>6099.6275999999998</v>
      </c>
      <c r="F31" s="79"/>
    </row>
    <row r="32" spans="1:6" ht="22.5" customHeight="1" x14ac:dyDescent="0.25">
      <c r="A32" s="42" t="s">
        <v>105</v>
      </c>
      <c r="B32" s="69" t="s">
        <v>106</v>
      </c>
      <c r="C32" s="69"/>
      <c r="D32" s="69"/>
      <c r="E32" s="80">
        <f>HESAPLAMA!N25</f>
        <v>234718.4276</v>
      </c>
      <c r="F32" s="80"/>
    </row>
    <row r="33" spans="1:6" ht="22.5" customHeight="1" x14ac:dyDescent="0.25">
      <c r="A33" s="42" t="s">
        <v>107</v>
      </c>
      <c r="B33" s="69" t="s">
        <v>108</v>
      </c>
      <c r="C33" s="69"/>
      <c r="D33" s="69"/>
      <c r="E33" s="81">
        <f>HESAPLAMA!O25</f>
        <v>965281.57239999995</v>
      </c>
      <c r="F33" s="81"/>
    </row>
    <row r="34" spans="1:6" ht="22.5" customHeight="1" x14ac:dyDescent="0.25">
      <c r="A34" s="42" t="s">
        <v>109</v>
      </c>
      <c r="B34" s="69" t="s">
        <v>110</v>
      </c>
      <c r="C34" s="69"/>
      <c r="D34" s="69"/>
      <c r="E34" s="78">
        <f>IF(HESAPLAMA!B25&gt;0,HESAPLAMA!N25/HESAPLAMA!B25,0)</f>
        <v>0.19559868966666666</v>
      </c>
      <c r="F34" s="78"/>
    </row>
    <row r="36" spans="1:6" ht="4.5" customHeight="1" x14ac:dyDescent="0.25"/>
    <row r="37" spans="1:6" ht="27.6" customHeight="1" x14ac:dyDescent="0.25">
      <c r="A37" s="67" t="s">
        <v>111</v>
      </c>
      <c r="B37" s="67"/>
      <c r="C37" s="67"/>
      <c r="D37" s="67"/>
      <c r="E37" s="67"/>
      <c r="F37" s="67"/>
    </row>
    <row r="38" spans="1:6" ht="22.5" customHeight="1" x14ac:dyDescent="0.25">
      <c r="A38" s="76" t="s">
        <v>112</v>
      </c>
      <c r="B38" s="76"/>
      <c r="C38" s="76"/>
      <c r="D38" s="76"/>
      <c r="E38" s="76"/>
      <c r="F38" s="76"/>
    </row>
    <row r="39" spans="1:6" ht="22.5" customHeight="1" x14ac:dyDescent="0.25">
      <c r="A39" s="77" t="s">
        <v>113</v>
      </c>
      <c r="B39" s="77"/>
      <c r="C39" s="77"/>
      <c r="D39" s="77"/>
      <c r="E39" s="77"/>
      <c r="F39" s="77"/>
    </row>
    <row r="40" spans="1:6" ht="22.5" customHeight="1" x14ac:dyDescent="0.25">
      <c r="A40" s="76" t="s">
        <v>114</v>
      </c>
      <c r="B40" s="76"/>
      <c r="C40" s="76"/>
      <c r="D40" s="76"/>
      <c r="E40" s="76"/>
      <c r="F40" s="76"/>
    </row>
    <row r="41" spans="1:6" ht="22.5" customHeight="1" x14ac:dyDescent="0.25">
      <c r="A41" s="77" t="s">
        <v>115</v>
      </c>
      <c r="B41" s="77"/>
      <c r="C41" s="77"/>
      <c r="D41" s="77"/>
      <c r="E41" s="77"/>
      <c r="F41" s="77"/>
    </row>
    <row r="42" spans="1:6" ht="22.5" customHeight="1" x14ac:dyDescent="0.25">
      <c r="A42" s="76" t="s">
        <v>116</v>
      </c>
      <c r="B42" s="76"/>
      <c r="C42" s="76"/>
      <c r="D42" s="76"/>
      <c r="E42" s="76"/>
      <c r="F42" s="76"/>
    </row>
    <row r="43" spans="1:6" ht="22.5" customHeight="1" x14ac:dyDescent="0.25">
      <c r="A43" s="77" t="s">
        <v>117</v>
      </c>
      <c r="B43" s="77"/>
      <c r="C43" s="77"/>
      <c r="D43" s="77"/>
      <c r="E43" s="77"/>
      <c r="F43" s="77"/>
    </row>
    <row r="44" spans="1:6" ht="22.5" customHeight="1" x14ac:dyDescent="0.25">
      <c r="A44" s="76" t="s">
        <v>130</v>
      </c>
      <c r="B44" s="76"/>
      <c r="C44" s="76"/>
      <c r="D44" s="76"/>
      <c r="E44" s="76"/>
      <c r="F44" s="76"/>
    </row>
  </sheetData>
  <mergeCells count="61">
    <mergeCell ref="A1:F1"/>
    <mergeCell ref="A2:F2"/>
    <mergeCell ref="A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A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A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37:F37"/>
    <mergeCell ref="A38:F38"/>
    <mergeCell ref="A39:F39"/>
    <mergeCell ref="A40:F40"/>
    <mergeCell ref="A41:F41"/>
    <mergeCell ref="A42:F42"/>
    <mergeCell ref="A43:F43"/>
    <mergeCell ref="A44:F4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zoomScaleNormal="100" workbookViewId="0">
      <selection activeCell="A2" sqref="A2:J2"/>
    </sheetView>
  </sheetViews>
  <sheetFormatPr defaultColWidth="8.7109375" defaultRowHeight="15" x14ac:dyDescent="0.25"/>
  <cols>
    <col min="1" max="1" width="5" customWidth="1"/>
    <col min="2" max="2" width="20" customWidth="1"/>
    <col min="3" max="3" width="18" customWidth="1"/>
    <col min="4" max="4" width="16" customWidth="1"/>
    <col min="5" max="5" width="15" customWidth="1"/>
    <col min="6" max="6" width="16" customWidth="1"/>
    <col min="7" max="7" width="14" customWidth="1"/>
    <col min="8" max="9" width="16" customWidth="1"/>
    <col min="10" max="10" width="12" customWidth="1"/>
  </cols>
  <sheetData>
    <row r="1" spans="1:10" ht="33.75" customHeight="1" x14ac:dyDescent="0.25">
      <c r="A1" s="84" t="s">
        <v>118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4.75" customHeight="1" x14ac:dyDescent="0.25">
      <c r="A2" s="85" t="s">
        <v>119</v>
      </c>
      <c r="B2" s="85"/>
      <c r="C2" s="85"/>
      <c r="D2" s="85"/>
      <c r="E2" s="85"/>
      <c r="F2" s="85"/>
      <c r="G2" s="85"/>
      <c r="H2" s="85"/>
      <c r="I2" s="85"/>
      <c r="J2" s="85"/>
    </row>
    <row r="4" spans="1:10" ht="39.75" customHeight="1" x14ac:dyDescent="0.25">
      <c r="A4" s="17" t="s">
        <v>3</v>
      </c>
      <c r="B4" s="17" t="s">
        <v>35</v>
      </c>
      <c r="C4" s="18" t="s">
        <v>120</v>
      </c>
      <c r="D4" s="20" t="s">
        <v>121</v>
      </c>
      <c r="E4" s="22" t="s">
        <v>122</v>
      </c>
      <c r="F4" s="22" t="s">
        <v>123</v>
      </c>
      <c r="G4" s="23" t="s">
        <v>124</v>
      </c>
      <c r="H4" s="24" t="s">
        <v>56</v>
      </c>
      <c r="I4" s="25" t="s">
        <v>57</v>
      </c>
      <c r="J4" s="20" t="s">
        <v>58</v>
      </c>
    </row>
    <row r="5" spans="1:10" ht="22.5" customHeight="1" x14ac:dyDescent="0.25">
      <c r="A5" s="43">
        <v>1</v>
      </c>
      <c r="B5" s="44" t="s">
        <v>125</v>
      </c>
      <c r="C5" s="16">
        <v>50000</v>
      </c>
      <c r="D5" s="45">
        <f>IF(C5&gt;0,IF(C5&lt;=PARAMETRELER!B7,C5*PARAMETRELER!D6,IF(C5&lt;=PARAMETRELER!B8,PARAMETRELER!E7+(C5-PARAMETRELER!B7)*PARAMETRELER!D7,IF(C5&lt;=PARAMETRELER!B9,PARAMETRELER!E8+(C5-PARAMETRELER!B8)*PARAMETRELER!D8,IF(C5&lt;=PARAMETRELER!B10,PARAMETRELER!E9+(C5-PARAMETRELER!B9)*PARAMETRELER!D9,PARAMETRELER!E10+(C5-PARAMETRELER!B10)*PARAMETRELER!D10)))),"")</f>
        <v>7500</v>
      </c>
      <c r="E5" s="31">
        <f>IF(C5&gt;0,IF(PARAMETRELER!D18&lt;=PARAMETRELER!B7,PARAMETRELER!D18*PARAMETRELER!D6,PARAMETRELER!E7+(PARAMETRELER!D18-PARAMETRELER!B7)*PARAMETRELER!D7),"")</f>
        <v>4211.3249999999998</v>
      </c>
      <c r="F5" s="46">
        <f t="shared" ref="F5:F14" si="0">IF(C5&gt;0,MAX(0,D5-E5),"")</f>
        <v>3288.6750000000002</v>
      </c>
      <c r="G5" s="47">
        <f>IF(C5&gt;0,MAX(0,C5*PARAMETRELER!D16-PARAMETRELER!D19),"")</f>
        <v>128.80229999999997</v>
      </c>
      <c r="H5" s="35">
        <f t="shared" ref="H5:H14" si="1">IF(C5&gt;0,F5+G5,"")</f>
        <v>3417.4773</v>
      </c>
      <c r="I5" s="36">
        <f t="shared" ref="I5:I14" si="2">IF(C5&gt;0,C5-H5,"")</f>
        <v>46582.522700000001</v>
      </c>
      <c r="J5" s="48">
        <f t="shared" ref="J5:J15" si="3">IF(C5&gt;0,H5/C5,"")</f>
        <v>6.8349545999999997E-2</v>
      </c>
    </row>
    <row r="6" spans="1:10" ht="22.5" customHeight="1" x14ac:dyDescent="0.25">
      <c r="A6" s="43">
        <v>2</v>
      </c>
      <c r="B6" s="49" t="s">
        <v>126</v>
      </c>
      <c r="C6" s="16">
        <v>75000</v>
      </c>
      <c r="D6" s="50">
        <f>IF(C6&gt;0,IF(C6&lt;=PARAMETRELER!B7,C6*PARAMETRELER!D6,IF(C6&lt;=PARAMETRELER!B8,PARAMETRELER!E7+(C6-PARAMETRELER!B7)*PARAMETRELER!D7,IF(C6&lt;=PARAMETRELER!B9,PARAMETRELER!E8+(C6-PARAMETRELER!B8)*PARAMETRELER!D8,IF(C6&lt;=PARAMETRELER!B10,PARAMETRELER!E9+(C6-PARAMETRELER!B9)*PARAMETRELER!D9,PARAMETRELER!E10+(C6-PARAMETRELER!B10)*PARAMETRELER!D10)))),"")</f>
        <v>11250</v>
      </c>
      <c r="E6" s="31">
        <f>IF(C6&gt;0,IF(PARAMETRELER!D18&lt;=PARAMETRELER!B7,PARAMETRELER!D18*PARAMETRELER!D6,PARAMETRELER!E7+(PARAMETRELER!D18-PARAMETRELER!B7)*PARAMETRELER!D7),"")</f>
        <v>4211.3249999999998</v>
      </c>
      <c r="F6" s="46">
        <f t="shared" si="0"/>
        <v>7038.6750000000002</v>
      </c>
      <c r="G6" s="47">
        <f>IF(C6&gt;0,MAX(0,C6*PARAMETRELER!D16-PARAMETRELER!D19),"")</f>
        <v>318.55229999999995</v>
      </c>
      <c r="H6" s="35">
        <f t="shared" si="1"/>
        <v>7357.2273000000005</v>
      </c>
      <c r="I6" s="36">
        <f t="shared" si="2"/>
        <v>67642.772700000001</v>
      </c>
      <c r="J6" s="51">
        <f t="shared" si="3"/>
        <v>9.8096364000000005E-2</v>
      </c>
    </row>
    <row r="7" spans="1:10" ht="22.5" customHeight="1" x14ac:dyDescent="0.25">
      <c r="A7" s="43">
        <v>3</v>
      </c>
      <c r="B7" s="44" t="s">
        <v>127</v>
      </c>
      <c r="C7" s="16">
        <v>100000</v>
      </c>
      <c r="D7" s="45">
        <f>IF(C7&gt;0,IF(C7&lt;=PARAMETRELER!B7,C7*PARAMETRELER!D6,IF(C7&lt;=PARAMETRELER!B8,PARAMETRELER!E7+(C7-PARAMETRELER!B7)*PARAMETRELER!D7,IF(C7&lt;=PARAMETRELER!B9,PARAMETRELER!E8+(C7-PARAMETRELER!B8)*PARAMETRELER!D8,IF(C7&lt;=PARAMETRELER!B10,PARAMETRELER!E9+(C7-PARAMETRELER!B9)*PARAMETRELER!D9,PARAMETRELER!E10+(C7-PARAMETRELER!B10)*PARAMETRELER!D10)))),"")</f>
        <v>15000</v>
      </c>
      <c r="E7" s="31">
        <f>IF(C7&gt;0,IF(PARAMETRELER!D18&lt;=PARAMETRELER!B7,PARAMETRELER!D18*PARAMETRELER!D6,PARAMETRELER!E7+(PARAMETRELER!D18-PARAMETRELER!B7)*PARAMETRELER!D7),"")</f>
        <v>4211.3249999999998</v>
      </c>
      <c r="F7" s="46">
        <f t="shared" si="0"/>
        <v>10788.674999999999</v>
      </c>
      <c r="G7" s="47">
        <f>IF(C7&gt;0,MAX(0,C7*PARAMETRELER!D16-PARAMETRELER!D19),"")</f>
        <v>508.30229999999995</v>
      </c>
      <c r="H7" s="35">
        <f t="shared" si="1"/>
        <v>11296.977299999999</v>
      </c>
      <c r="I7" s="36">
        <f t="shared" si="2"/>
        <v>88703.022700000001</v>
      </c>
      <c r="J7" s="48">
        <f t="shared" si="3"/>
        <v>0.11296977299999998</v>
      </c>
    </row>
    <row r="8" spans="1:10" ht="22.5" customHeight="1" x14ac:dyDescent="0.25">
      <c r="A8" s="43">
        <v>4</v>
      </c>
      <c r="B8" s="49" t="s">
        <v>128</v>
      </c>
      <c r="C8" s="16">
        <v>25000</v>
      </c>
      <c r="D8" s="50">
        <f>IF(C8&gt;0,IF(C8&lt;=PARAMETRELER!B7,C8*PARAMETRELER!D6,IF(C8&lt;=PARAMETRELER!B8,PARAMETRELER!E7+(C8-PARAMETRELER!B7)*PARAMETRELER!D7,IF(C8&lt;=PARAMETRELER!B9,PARAMETRELER!E8+(C8-PARAMETRELER!B8)*PARAMETRELER!D8,IF(C8&lt;=PARAMETRELER!B10,PARAMETRELER!E9+(C8-PARAMETRELER!B9)*PARAMETRELER!D9,PARAMETRELER!E10+(C8-PARAMETRELER!B10)*PARAMETRELER!D10)))),"")</f>
        <v>3750</v>
      </c>
      <c r="E8" s="31">
        <f>IF(C8&gt;0,IF(PARAMETRELER!D18&lt;=PARAMETRELER!B7,PARAMETRELER!D18*PARAMETRELER!D6,PARAMETRELER!E7+(PARAMETRELER!D18-PARAMETRELER!B7)*PARAMETRELER!D7),"")</f>
        <v>4211.3249999999998</v>
      </c>
      <c r="F8" s="46">
        <f t="shared" si="0"/>
        <v>0</v>
      </c>
      <c r="G8" s="47">
        <f>IF(C8&gt;0,MAX(0,C8*PARAMETRELER!D16-PARAMETRELER!D19),"")</f>
        <v>0</v>
      </c>
      <c r="H8" s="35">
        <f t="shared" si="1"/>
        <v>0</v>
      </c>
      <c r="I8" s="36">
        <f t="shared" si="2"/>
        <v>25000</v>
      </c>
      <c r="J8" s="51">
        <f t="shared" si="3"/>
        <v>0</v>
      </c>
    </row>
    <row r="9" spans="1:10" ht="22.5" customHeight="1" x14ac:dyDescent="0.25">
      <c r="A9" s="43">
        <v>5</v>
      </c>
      <c r="B9" s="44" t="s">
        <v>129</v>
      </c>
      <c r="C9" s="16">
        <v>200000</v>
      </c>
      <c r="D9" s="45">
        <f>IF(C9&gt;0,IF(C9&lt;=PARAMETRELER!B7,C9*PARAMETRELER!D6,IF(C9&lt;=PARAMETRELER!B8,PARAMETRELER!E7+(C9-PARAMETRELER!B7)*PARAMETRELER!D7,IF(C9&lt;=PARAMETRELER!B9,PARAMETRELER!E8+(C9-PARAMETRELER!B8)*PARAMETRELER!D8,IF(C9&lt;=PARAMETRELER!B10,PARAMETRELER!E9+(C9-PARAMETRELER!B9)*PARAMETRELER!D9,PARAMETRELER!E10+(C9-PARAMETRELER!B10)*PARAMETRELER!D10)))),"")</f>
        <v>30500</v>
      </c>
      <c r="E9" s="31">
        <f>IF(C9&gt;0,IF(PARAMETRELER!D18&lt;=PARAMETRELER!B7,PARAMETRELER!D18*PARAMETRELER!D6,PARAMETRELER!E7+(PARAMETRELER!D18-PARAMETRELER!B7)*PARAMETRELER!D7),"")</f>
        <v>4211.3249999999998</v>
      </c>
      <c r="F9" s="46">
        <f t="shared" si="0"/>
        <v>26288.674999999999</v>
      </c>
      <c r="G9" s="47">
        <f>IF(C9&gt;0,MAX(0,C9*PARAMETRELER!D16-PARAMETRELER!D19),"")</f>
        <v>1267.3023000000001</v>
      </c>
      <c r="H9" s="35">
        <f t="shared" si="1"/>
        <v>27555.977299999999</v>
      </c>
      <c r="I9" s="36">
        <f t="shared" si="2"/>
        <v>172444.0227</v>
      </c>
      <c r="J9" s="48">
        <f t="shared" si="3"/>
        <v>0.1377798865</v>
      </c>
    </row>
    <row r="10" spans="1:10" ht="22.5" customHeight="1" x14ac:dyDescent="0.25">
      <c r="A10" s="43">
        <v>6</v>
      </c>
      <c r="B10" s="49"/>
      <c r="C10" s="52"/>
      <c r="D10" s="50" t="str">
        <f>IF(C10&gt;0,IF(C10&lt;=PARAMETRELER!B7,C10*PARAMETRELER!D6,IF(C10&lt;=PARAMETRELER!B8,PARAMETRELER!E7+(C10-PARAMETRELER!B7)*PARAMETRELER!D7,IF(C10&lt;=PARAMETRELER!B9,PARAMETRELER!E8+(C10-PARAMETRELER!B8)*PARAMETRELER!D8,IF(C10&lt;=PARAMETRELER!B10,PARAMETRELER!E9+(C10-PARAMETRELER!B9)*PARAMETRELER!D9,PARAMETRELER!E10+(C10-PARAMETRELER!B10)*PARAMETRELER!D10)))),"")</f>
        <v/>
      </c>
      <c r="E10" s="53" t="str">
        <f>IF(C10&gt;0,IF(PARAMETRELER!D18&lt;=PARAMETRELER!B7,PARAMETRELER!D18*PARAMETRELER!D6,PARAMETRELER!E7+(PARAMETRELER!D18-PARAMETRELER!B7)*PARAMETRELER!D7),"")</f>
        <v/>
      </c>
      <c r="F10" s="54" t="str">
        <f t="shared" si="0"/>
        <v/>
      </c>
      <c r="G10" s="55" t="str">
        <f>IF(C10&gt;0,MAX(0,C10*PARAMETRELER!D16-PARAMETRELER!D19),"")</f>
        <v/>
      </c>
      <c r="H10" s="56" t="str">
        <f t="shared" si="1"/>
        <v/>
      </c>
      <c r="I10" s="57" t="str">
        <f t="shared" si="2"/>
        <v/>
      </c>
      <c r="J10" s="51" t="str">
        <f t="shared" si="3"/>
        <v/>
      </c>
    </row>
    <row r="11" spans="1:10" ht="22.5" customHeight="1" x14ac:dyDescent="0.25">
      <c r="A11" s="43">
        <v>7</v>
      </c>
      <c r="B11" s="44"/>
      <c r="C11" s="52"/>
      <c r="D11" s="45" t="str">
        <f>IF(C11&gt;0,IF(C11&lt;=PARAMETRELER!B7,C11*PARAMETRELER!D6,IF(C11&lt;=PARAMETRELER!B8,PARAMETRELER!E7+(C11-PARAMETRELER!B7)*PARAMETRELER!D7,IF(C11&lt;=PARAMETRELER!B9,PARAMETRELER!E8+(C11-PARAMETRELER!B8)*PARAMETRELER!D8,IF(C11&lt;=PARAMETRELER!B10,PARAMETRELER!E9+(C11-PARAMETRELER!B9)*PARAMETRELER!D9,PARAMETRELER!E10+(C11-PARAMETRELER!B10)*PARAMETRELER!D10)))),"")</f>
        <v/>
      </c>
      <c r="E11" s="53" t="str">
        <f>IF(C11&gt;0,IF(PARAMETRELER!D18&lt;=PARAMETRELER!B7,PARAMETRELER!D18*PARAMETRELER!D6,PARAMETRELER!E7+(PARAMETRELER!D18-PARAMETRELER!B7)*PARAMETRELER!D7),"")</f>
        <v/>
      </c>
      <c r="F11" s="54" t="str">
        <f t="shared" si="0"/>
        <v/>
      </c>
      <c r="G11" s="55" t="str">
        <f>IF(C11&gt;0,MAX(0,C11*PARAMETRELER!D16-PARAMETRELER!D19),"")</f>
        <v/>
      </c>
      <c r="H11" s="56" t="str">
        <f t="shared" si="1"/>
        <v/>
      </c>
      <c r="I11" s="57" t="str">
        <f t="shared" si="2"/>
        <v/>
      </c>
      <c r="J11" s="48" t="str">
        <f t="shared" si="3"/>
        <v/>
      </c>
    </row>
    <row r="12" spans="1:10" ht="22.5" customHeight="1" x14ac:dyDescent="0.25">
      <c r="A12" s="43">
        <v>8</v>
      </c>
      <c r="B12" s="49"/>
      <c r="C12" s="52"/>
      <c r="D12" s="50" t="str">
        <f>IF(C12&gt;0,IF(C12&lt;=PARAMETRELER!B7,C12*PARAMETRELER!D6,IF(C12&lt;=PARAMETRELER!B8,PARAMETRELER!E7+(C12-PARAMETRELER!B7)*PARAMETRELER!D7,IF(C12&lt;=PARAMETRELER!B9,PARAMETRELER!E8+(C12-PARAMETRELER!B8)*PARAMETRELER!D8,IF(C12&lt;=PARAMETRELER!B10,PARAMETRELER!E9+(C12-PARAMETRELER!B9)*PARAMETRELER!D9,PARAMETRELER!E10+(C12-PARAMETRELER!B10)*PARAMETRELER!D10)))),"")</f>
        <v/>
      </c>
      <c r="E12" s="53" t="str">
        <f>IF(C12&gt;0,IF(PARAMETRELER!D18&lt;=PARAMETRELER!B7,PARAMETRELER!D18*PARAMETRELER!D6,PARAMETRELER!E7+(PARAMETRELER!D18-PARAMETRELER!B7)*PARAMETRELER!D7),"")</f>
        <v/>
      </c>
      <c r="F12" s="54" t="str">
        <f t="shared" si="0"/>
        <v/>
      </c>
      <c r="G12" s="55" t="str">
        <f>IF(C12&gt;0,MAX(0,C12*PARAMETRELER!D16-PARAMETRELER!D19),"")</f>
        <v/>
      </c>
      <c r="H12" s="56" t="str">
        <f t="shared" si="1"/>
        <v/>
      </c>
      <c r="I12" s="57" t="str">
        <f t="shared" si="2"/>
        <v/>
      </c>
      <c r="J12" s="51" t="str">
        <f t="shared" si="3"/>
        <v/>
      </c>
    </row>
    <row r="13" spans="1:10" ht="22.5" customHeight="1" x14ac:dyDescent="0.25">
      <c r="A13" s="43">
        <v>9</v>
      </c>
      <c r="B13" s="44"/>
      <c r="C13" s="52"/>
      <c r="D13" s="45" t="str">
        <f>IF(C13&gt;0,IF(C13&lt;=PARAMETRELER!B7,C13*PARAMETRELER!D6,IF(C13&lt;=PARAMETRELER!B8,PARAMETRELER!E7+(C13-PARAMETRELER!B7)*PARAMETRELER!D7,IF(C13&lt;=PARAMETRELER!B9,PARAMETRELER!E8+(C13-PARAMETRELER!B8)*PARAMETRELER!D8,IF(C13&lt;=PARAMETRELER!B10,PARAMETRELER!E9+(C13-PARAMETRELER!B9)*PARAMETRELER!D9,PARAMETRELER!E10+(C13-PARAMETRELER!B10)*PARAMETRELER!D10)))),"")</f>
        <v/>
      </c>
      <c r="E13" s="53" t="str">
        <f>IF(C13&gt;0,IF(PARAMETRELER!D18&lt;=PARAMETRELER!B7,PARAMETRELER!D18*PARAMETRELER!D6,PARAMETRELER!E7+(PARAMETRELER!D18-PARAMETRELER!B7)*PARAMETRELER!D7),"")</f>
        <v/>
      </c>
      <c r="F13" s="54" t="str">
        <f t="shared" si="0"/>
        <v/>
      </c>
      <c r="G13" s="55" t="str">
        <f>IF(C13&gt;0,MAX(0,C13*PARAMETRELER!D16-PARAMETRELER!D19),"")</f>
        <v/>
      </c>
      <c r="H13" s="56" t="str">
        <f t="shared" si="1"/>
        <v/>
      </c>
      <c r="I13" s="57" t="str">
        <f t="shared" si="2"/>
        <v/>
      </c>
      <c r="J13" s="48" t="str">
        <f t="shared" si="3"/>
        <v/>
      </c>
    </row>
    <row r="14" spans="1:10" ht="22.5" customHeight="1" x14ac:dyDescent="0.25">
      <c r="A14" s="43">
        <v>10</v>
      </c>
      <c r="B14" s="49"/>
      <c r="C14" s="52"/>
      <c r="D14" s="50" t="str">
        <f>IF(C14&gt;0,IF(C14&lt;=PARAMETRELER!B7,C14*PARAMETRELER!D6,IF(C14&lt;=PARAMETRELER!B8,PARAMETRELER!E7+(C14-PARAMETRELER!B7)*PARAMETRELER!D7,IF(C14&lt;=PARAMETRELER!B9,PARAMETRELER!E8+(C14-PARAMETRELER!B8)*PARAMETRELER!D8,IF(C14&lt;=PARAMETRELER!B10,PARAMETRELER!E9+(C14-PARAMETRELER!B9)*PARAMETRELER!D9,PARAMETRELER!E10+(C14-PARAMETRELER!B10)*PARAMETRELER!D10)))),"")</f>
        <v/>
      </c>
      <c r="E14" s="53" t="str">
        <f>IF(C14&gt;0,IF(PARAMETRELER!D18&lt;=PARAMETRELER!B7,PARAMETRELER!D18*PARAMETRELER!D6,PARAMETRELER!E7+(PARAMETRELER!D18-PARAMETRELER!B7)*PARAMETRELER!D7),"")</f>
        <v/>
      </c>
      <c r="F14" s="54" t="str">
        <f t="shared" si="0"/>
        <v/>
      </c>
      <c r="G14" s="55" t="str">
        <f>IF(C14&gt;0,MAX(0,C14*PARAMETRELER!D16-PARAMETRELER!D19),"")</f>
        <v/>
      </c>
      <c r="H14" s="56" t="str">
        <f t="shared" si="1"/>
        <v/>
      </c>
      <c r="I14" s="57" t="str">
        <f t="shared" si="2"/>
        <v/>
      </c>
      <c r="J14" s="51" t="str">
        <f t="shared" si="3"/>
        <v/>
      </c>
    </row>
    <row r="15" spans="1:10" ht="27.6" customHeight="1" x14ac:dyDescent="0.25">
      <c r="A15" s="86" t="s">
        <v>71</v>
      </c>
      <c r="B15" s="86"/>
      <c r="C15" s="40">
        <f>SUMIF(C5:C14,"&gt;0",C5:C14)</f>
        <v>450000</v>
      </c>
      <c r="D15" s="58" t="s">
        <v>25</v>
      </c>
      <c r="E15" s="58" t="s">
        <v>25</v>
      </c>
      <c r="F15" s="40">
        <f>SUMIF(C5:C14,"&gt;0",F5:F14)</f>
        <v>47404.7</v>
      </c>
      <c r="G15" s="40">
        <f>SUMIF(C5:C14,"&gt;0",G5:G14)</f>
        <v>2222.9591999999998</v>
      </c>
      <c r="H15" s="40">
        <f>SUMIF(C5:C14,"&gt;0",H5:H14)</f>
        <v>49627.659199999995</v>
      </c>
      <c r="I15" s="40">
        <f>SUMIF(C5:C14,"&gt;0",I5:I14)</f>
        <v>400372.34080000001</v>
      </c>
      <c r="J15" s="41">
        <f t="shared" si="3"/>
        <v>0.1102836871111111</v>
      </c>
    </row>
  </sheetData>
  <mergeCells count="3">
    <mergeCell ref="A1:J1"/>
    <mergeCell ref="A2:J2"/>
    <mergeCell ref="A15:B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PARAMETRELER</vt:lpstr>
      <vt:lpstr>HESAPLAMA</vt:lpstr>
      <vt:lpstr>ÖZET BORDRO</vt:lpstr>
      <vt:lpstr>KARŞILAŞTIRMA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Şaban ABACI</cp:lastModifiedBy>
  <cp:revision>0</cp:revision>
  <dcterms:created xsi:type="dcterms:W3CDTF">2026-06-24T10:07:27Z</dcterms:created>
  <dcterms:modified xsi:type="dcterms:W3CDTF">2026-06-27T11:09:48Z</dcterms:modified>
  <dc:language>en-US</dc:language>
</cp:coreProperties>
</file>